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worksheets/sheet4.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3" autoFilterDateGrouping="1"/>
  </bookViews>
  <sheets>
    <sheet xmlns:r="http://schemas.openxmlformats.org/officeDocument/2006/relationships" name="Instructions" sheetId="1" state="visible" r:id="rId1"/>
    <sheet xmlns:r="http://schemas.openxmlformats.org/officeDocument/2006/relationships" name="Paramètres" sheetId="2" state="visible" r:id="rId2"/>
    <sheet xmlns:r="http://schemas.openxmlformats.org/officeDocument/2006/relationships" name="Budget de caisse" sheetId="3" state="visible" r:id="rId3"/>
    <sheet xmlns:r="http://schemas.openxmlformats.org/officeDocument/2006/relationships" name="Tableau de bord" sheetId="4" state="visible" r:id="rId4"/>
  </sheets>
  <definedNames/>
  <calcPr calcId="124519" calcMode="auto" fullCalcOnLoad="1" forceFullCalc="1"/>
</workbook>
</file>

<file path=xl/styles.xml><?xml version="1.0" encoding="utf-8"?>
<styleSheet xmlns="http://schemas.openxmlformats.org/spreadsheetml/2006/main">
  <numFmts count="3">
    <numFmt numFmtId="164" formatCode="yyyy-mm-dd"/>
    <numFmt numFmtId="165" formatCode="#,##0.00 [$$-fr-CA]"/>
    <numFmt numFmtId="166" formatCode="yyyy-mm"/>
  </numFmts>
  <fonts count="7">
    <font>
      <name val="Calibri"/>
      <family val="2"/>
      <color theme="1"/>
      <sz val="11"/>
      <scheme val="minor"/>
    </font>
    <font>
      <name val="Aptos Display"/>
      <b val="1"/>
      <color rgb="00FFFFFF"/>
      <sz val="16"/>
    </font>
    <font>
      <name val="Aptos"/>
      <b val="1"/>
      <color rgb="00FFFFFF"/>
      <sz val="11"/>
    </font>
    <font>
      <name val="Aptos"/>
      <color rgb="001F2933"/>
      <sz val="10"/>
    </font>
    <font>
      <name val="Aptos"/>
      <b val="1"/>
      <color rgb="001F2933"/>
      <sz val="10"/>
    </font>
    <font>
      <name val="Aptos"/>
      <b val="1"/>
      <color rgb="00004B87"/>
      <sz val="13"/>
    </font>
    <font>
      <name val="Aptos"/>
      <b val="1"/>
      <sz val="13"/>
    </font>
  </fonts>
  <fills count="12">
    <fill>
      <patternFill/>
    </fill>
    <fill>
      <patternFill patternType="gray125"/>
    </fill>
    <fill>
      <patternFill patternType="solid">
        <fgColor rgb="00004B87"/>
      </patternFill>
    </fill>
    <fill>
      <patternFill patternType="solid">
        <fgColor rgb="002D6A9F"/>
      </patternFill>
    </fill>
    <fill>
      <patternFill patternType="solid">
        <fgColor rgb="00FCE5CD"/>
      </patternFill>
    </fill>
    <fill>
      <patternFill patternType="solid">
        <fgColor rgb="00FFF4D6"/>
      </patternFill>
    </fill>
    <fill>
      <patternFill patternType="solid">
        <fgColor rgb="00D9EAF7"/>
      </patternFill>
    </fill>
    <fill>
      <patternFill patternType="solid">
        <fgColor rgb="00E7E6E6"/>
      </patternFill>
    </fill>
    <fill>
      <patternFill patternType="solid">
        <fgColor rgb="00F4CCCC"/>
      </patternFill>
    </fill>
    <fill>
      <patternFill patternType="solid">
        <fgColor rgb="00D9EAD3"/>
      </patternFill>
    </fill>
    <fill>
      <patternFill patternType="solid">
        <fgColor rgb="00FFFFFF"/>
      </patternFill>
    </fill>
    <fill>
      <patternFill patternType="solid">
        <fgColor rgb="00F2F7FB"/>
      </patternFill>
    </fill>
  </fills>
  <borders count="11">
    <border>
      <left/>
      <right/>
      <top/>
      <bottom/>
      <diagonal/>
    </border>
    <border>
      <left style="thin">
        <color rgb="00C7D5E0"/>
      </left>
      <right style="thin">
        <color rgb="00C7D5E0"/>
      </right>
      <top style="thin">
        <color rgb="00C7D5E0"/>
      </top>
      <bottom style="thin">
        <color rgb="00C7D5E0"/>
      </bottom>
    </border>
    <border>
      <left/>
      <right/>
      <top style="thin">
        <color rgb="00C7D5E0"/>
      </top>
      <bottom/>
      <diagonal/>
    </border>
    <border>
      <left/>
      <right style="thin">
        <color rgb="00C7D5E0"/>
      </right>
      <top style="thin">
        <color rgb="00C7D5E0"/>
      </top>
      <bottom/>
      <diagonal/>
    </border>
    <border>
      <left/>
      <right/>
      <top style="thin">
        <color rgb="00C7D5E0"/>
      </top>
      <bottom style="thin">
        <color rgb="00C7D5E0"/>
      </bottom>
      <diagonal/>
    </border>
    <border>
      <left/>
      <right style="thin">
        <color rgb="00C7D5E0"/>
      </right>
      <top style="thin">
        <color rgb="00C7D5E0"/>
      </top>
      <bottom style="thin">
        <color rgb="00C7D5E0"/>
      </bottom>
      <diagonal/>
    </border>
    <border>
      <left style="thin">
        <color rgb="00C7D5E0"/>
      </left>
      <right/>
      <top/>
      <bottom/>
      <diagonal/>
    </border>
    <border>
      <left/>
      <right style="thin">
        <color rgb="00C7D5E0"/>
      </right>
      <top/>
      <bottom/>
      <diagonal/>
    </border>
    <border>
      <left style="thin">
        <color rgb="00C7D5E0"/>
      </left>
      <right/>
      <top/>
      <bottom style="thin">
        <color rgb="00C7D5E0"/>
      </bottom>
      <diagonal/>
    </border>
    <border>
      <left/>
      <right/>
      <top/>
      <bottom style="thin">
        <color rgb="00C7D5E0"/>
      </bottom>
      <diagonal/>
    </border>
    <border>
      <left/>
      <right style="thin">
        <color rgb="00C7D5E0"/>
      </right>
      <top/>
      <bottom style="thin">
        <color rgb="00C7D5E0"/>
      </bottom>
      <diagonal/>
    </border>
  </borders>
  <cellStyleXfs count="1">
    <xf numFmtId="0" fontId="0" fillId="0" borderId="0"/>
  </cellStyleXfs>
  <cellXfs count="46">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0" fillId="0" borderId="1" pivotButton="0" quotePrefix="0" xfId="0"/>
    <xf numFmtId="0" fontId="3" fillId="0" borderId="1" applyAlignment="1" pivotButton="0" quotePrefix="0" xfId="0">
      <alignment horizontal="left" vertical="top" wrapText="1"/>
    </xf>
    <xf numFmtId="0" fontId="4" fillId="5" borderId="1" pivotButton="0" quotePrefix="0" xfId="0"/>
    <xf numFmtId="0" fontId="4" fillId="6" borderId="1" pivotButton="0" quotePrefix="0" xfId="0"/>
    <xf numFmtId="0" fontId="4" fillId="7" borderId="1" pivotButton="0" quotePrefix="0" xfId="0"/>
    <xf numFmtId="0" fontId="4" fillId="8" borderId="1" pivotButton="0" quotePrefix="0" xfId="0"/>
    <xf numFmtId="0" fontId="4" fillId="9" borderId="1" pivotButton="0" quotePrefix="0" xfId="0"/>
    <xf numFmtId="0" fontId="3" fillId="4" borderId="1" applyAlignment="1" pivotButton="0" quotePrefix="0" xfId="0">
      <alignment horizontal="left" vertical="top" wrapText="1"/>
    </xf>
    <xf numFmtId="0" fontId="2" fillId="2" borderId="1" applyAlignment="1" pivotButton="0" quotePrefix="0" xfId="0">
      <alignment horizontal="center" vertical="center"/>
    </xf>
    <xf numFmtId="0" fontId="0" fillId="3" borderId="1" pivotButton="0" quotePrefix="0" xfId="0"/>
    <xf numFmtId="0" fontId="4" fillId="10" borderId="1" applyAlignment="1" pivotButton="0" quotePrefix="0" xfId="0">
      <alignment horizontal="left" vertical="top" wrapText="1"/>
    </xf>
    <xf numFmtId="0" fontId="3" fillId="6" borderId="1" applyAlignment="1" pivotButton="0" quotePrefix="0" xfId="0">
      <alignment horizontal="left" vertical="top" wrapText="1"/>
    </xf>
    <xf numFmtId="0" fontId="3" fillId="10" borderId="1" applyAlignment="1" pivotButton="0" quotePrefix="0" xfId="0">
      <alignment horizontal="left" vertical="top" wrapText="1"/>
    </xf>
    <xf numFmtId="164" fontId="3" fillId="6" borderId="1" applyAlignment="1" pivotButton="0" quotePrefix="0" xfId="0">
      <alignment horizontal="left" vertical="top" wrapText="1"/>
    </xf>
    <xf numFmtId="165" fontId="3" fillId="6" borderId="1" applyAlignment="1" pivotButton="0" quotePrefix="0" xfId="0">
      <alignment horizontal="left" vertical="top" wrapText="1"/>
    </xf>
    <xf numFmtId="10" fontId="3" fillId="6" borderId="1" applyAlignment="1" pivotButton="0" quotePrefix="0" xfId="0">
      <alignment horizontal="left" vertical="top" wrapText="1"/>
    </xf>
    <xf numFmtId="0" fontId="4" fillId="4" borderId="1" applyAlignment="1" pivotButton="0" quotePrefix="0" xfId="0">
      <alignment horizontal="left" vertical="top" wrapText="1"/>
    </xf>
    <xf numFmtId="0" fontId="3" fillId="5" borderId="1" applyAlignment="1" pivotButton="0" quotePrefix="0" xfId="0">
      <alignment horizontal="left" vertical="center"/>
    </xf>
    <xf numFmtId="164" fontId="3" fillId="5" borderId="1" applyAlignment="1" pivotButton="0" quotePrefix="0" xfId="0">
      <alignment horizontal="left" vertical="center"/>
    </xf>
    <xf numFmtId="166" fontId="3" fillId="7" borderId="1" applyAlignment="1" pivotButton="0" quotePrefix="0" xfId="0">
      <alignment horizontal="left" vertical="center"/>
    </xf>
    <xf numFmtId="0" fontId="3" fillId="5" borderId="1" applyAlignment="1" pivotButton="0" quotePrefix="0" xfId="0">
      <alignment horizontal="left" vertical="top" wrapText="1"/>
    </xf>
    <xf numFmtId="165" fontId="3" fillId="5" borderId="1" applyAlignment="1" pivotButton="0" quotePrefix="0" xfId="0">
      <alignment horizontal="left" vertical="center"/>
    </xf>
    <xf numFmtId="165" fontId="3" fillId="7" borderId="1" applyAlignment="1" pivotButton="0" quotePrefix="0" xfId="0">
      <alignment horizontal="left" vertical="center"/>
    </xf>
    <xf numFmtId="166" fontId="3" fillId="7" borderId="1" applyAlignment="1" pivotButton="0" quotePrefix="0" xfId="0">
      <alignment horizontal="center" vertical="center"/>
    </xf>
    <xf numFmtId="165" fontId="3" fillId="7" borderId="1" applyAlignment="1" pivotButton="0" quotePrefix="0" xfId="0">
      <alignment horizontal="center" vertical="center"/>
    </xf>
    <xf numFmtId="0" fontId="3" fillId="7" borderId="1" applyAlignment="1" pivotButton="0" quotePrefix="0" xfId="0">
      <alignment horizontal="center" vertical="center"/>
    </xf>
    <xf numFmtId="165" fontId="4" fillId="7" borderId="1" applyAlignment="1" pivotButton="0" quotePrefix="0" xfId="0">
      <alignment horizontal="center" vertical="center"/>
    </xf>
    <xf numFmtId="3" fontId="4" fillId="7" borderId="1" applyAlignment="1" pivotButton="0" quotePrefix="0" xfId="0">
      <alignment horizontal="center" vertical="center"/>
    </xf>
    <xf numFmtId="0" fontId="4" fillId="7" borderId="1" applyAlignment="1" pivotButton="0" quotePrefix="0" xfId="0">
      <alignment horizontal="center" vertical="center"/>
    </xf>
    <xf numFmtId="0" fontId="2" fillId="3" borderId="1" applyAlignment="1" pivotButton="0" quotePrefix="0" xfId="0">
      <alignment horizontal="center" vertical="center"/>
    </xf>
    <xf numFmtId="165" fontId="5" fillId="7" borderId="1" applyAlignment="1" pivotButton="0" quotePrefix="0" xfId="0">
      <alignment horizontal="center" vertical="center"/>
    </xf>
    <xf numFmtId="3" fontId="5" fillId="7" borderId="1" applyAlignment="1" pivotButton="0" quotePrefix="0" xfId="0">
      <alignment horizontal="center" vertical="center"/>
    </xf>
    <xf numFmtId="0" fontId="6" fillId="7" borderId="1" applyAlignment="1" pivotButton="0" quotePrefix="0" xfId="0">
      <alignment horizontal="center" vertical="center"/>
    </xf>
    <xf numFmtId="0" fontId="3" fillId="7" borderId="1" applyAlignment="1" pivotButton="0" quotePrefix="0" xfId="0">
      <alignment horizontal="left" vertical="center"/>
    </xf>
    <xf numFmtId="0" fontId="0" fillId="0" borderId="4" pivotButton="0" quotePrefix="0" xfId="0"/>
    <xf numFmtId="0" fontId="0" fillId="0" borderId="5" pivotButton="0" quotePrefix="0" xfId="0"/>
    <xf numFmtId="0" fontId="0" fillId="0" borderId="2" pivotButton="0" quotePrefix="0" xfId="0"/>
    <xf numFmtId="0" fontId="0" fillId="0" borderId="3" pivotButton="0" quotePrefix="0" xfId="0"/>
    <xf numFmtId="0" fontId="0" fillId="0" borderId="6" pivotButton="0" quotePrefix="0" xfId="0"/>
    <xf numFmtId="0" fontId="0" fillId="0" borderId="7" pivotButton="0" quotePrefix="0" xfId="0"/>
    <xf numFmtId="0" fontId="0" fillId="0" borderId="8" pivotButton="0" quotePrefix="0" xfId="0"/>
    <xf numFmtId="0" fontId="0" fillId="0" borderId="9" pivotButton="0" quotePrefix="0" xfId="0"/>
    <xf numFmtId="0" fontId="0" fillId="0" borderId="10" pivotButton="0" quotePrefix="0" xfId="0"/>
  </cellXfs>
  <cellStyles count="1">
    <cellStyle name="Normal" xfId="0" builtinId="0" hidden="0"/>
  </cellStyles>
  <dxfs count="3">
    <dxf>
      <font>
        <name val="Aptos"/>
        <b val="1"/>
        <color rgb="00C73939"/>
        <sz val="10"/>
      </font>
      <fill>
        <patternFill patternType="solid">
          <fgColor rgb="00F4CCCC"/>
        </patternFill>
      </fill>
    </dxf>
    <dxf>
      <font>
        <name val="Aptos"/>
        <b val="1"/>
        <color rgb="00147D64"/>
        <sz val="10"/>
      </font>
      <fill>
        <patternFill patternType="solid">
          <fgColor rgb="00D9EAD3"/>
        </patternFill>
      </fill>
    </dxf>
    <dxf>
      <font>
        <name val="Aptos"/>
        <b val="1"/>
        <color rgb="00C73939"/>
        <sz val="10"/>
      </font>
      <fill>
        <patternFill patternType="solid">
          <fgColor rgb="00FFF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Évolution du solde de caisse</a:t>
            </a:r>
          </a:p>
        </rich>
      </tx>
    </title>
    <plotArea>
      <lineChart>
        <grouping val="standard"/>
        <ser>
          <idx val="0"/>
          <order val="0"/>
          <tx>
            <strRef>
              <f>'Tableau de bord'!F14</f>
            </strRef>
          </tx>
          <spPr>
            <a:ln xmlns:a="http://schemas.openxmlformats.org/drawingml/2006/main">
              <a:solidFill>
                <a:srgbClr val="004B87"/>
              </a:solidFill>
              <a:prstDash val="solid"/>
            </a:ln>
          </spPr>
          <marker>
            <symbol val="none"/>
            <spPr>
              <a:ln xmlns:a="http://schemas.openxmlformats.org/drawingml/2006/main">
                <a:prstDash val="solid"/>
              </a:ln>
            </spPr>
          </marker>
          <cat>
            <numRef>
              <f>'Tableau de bord'!$B$15:$B$20</f>
            </numRef>
          </cat>
          <val>
            <numRef>
              <f>'Tableau de bord'!$F$15:$F$20</f>
            </numRef>
          </val>
        </ser>
        <ser>
          <idx val="1"/>
          <order val="1"/>
          <tx>
            <strRef>
              <f>'Tableau de bord'!G14</f>
            </strRef>
          </tx>
          <spPr>
            <a:ln xmlns:a="http://schemas.openxmlformats.org/drawingml/2006/main">
              <a:solidFill>
                <a:srgbClr val="C73939"/>
              </a:solidFill>
              <a:prstDash val="solid"/>
            </a:ln>
          </spPr>
          <marker>
            <symbol val="none"/>
            <spPr>
              <a:ln xmlns:a="http://schemas.openxmlformats.org/drawingml/2006/main">
                <a:prstDash val="solid"/>
              </a:ln>
            </spPr>
          </marker>
          <cat>
            <numRef>
              <f>'Tableau de bord'!$B$15:$B$20</f>
            </numRef>
          </cat>
          <val>
            <numRef>
              <f>'Tableau de bord'!$G$15:$G$20</f>
            </numRef>
          </val>
        </ser>
        <axId val="10"/>
        <axId val="100"/>
      </lineChart>
      <catAx>
        <axId val="10"/>
        <scaling>
          <orientation val="minMax"/>
        </scaling>
        <axPos val="l"/>
        <title>
          <tx>
            <rich>
              <a:bodyPr xmlns:a="http://schemas.openxmlformats.org/drawingml/2006/main"/>
              <a:p xmlns:a="http://schemas.openxmlformats.org/drawingml/2006/main">
                <a:pPr>
                  <a:defRPr/>
                </a:pPr>
                <a:r>
                  <a:t>Période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Montant</a:t>
                </a:r>
              </a:p>
            </rich>
          </tx>
        </title>
        <numFmt formatCode="#,##0.00 [$$-fr-CA]" sourceLinked="0"/>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Mouvements de trésorerie mensuels</a:t>
            </a:r>
          </a:p>
        </rich>
      </tx>
    </title>
    <plotArea>
      <barChart>
        <barDir val="col"/>
        <grouping val="clustered"/>
        <ser>
          <idx val="0"/>
          <order val="0"/>
          <tx>
            <strRef>
              <f>'Tableau de bord'!C14</f>
            </strRef>
          </tx>
          <spPr>
            <a:solidFill xmlns:a="http://schemas.openxmlformats.org/drawingml/2006/main">
              <a:srgbClr val="147D64"/>
            </a:solidFill>
            <a:ln xmlns:a="http://schemas.openxmlformats.org/drawingml/2006/main">
              <a:prstDash val="solid"/>
            </a:ln>
          </spPr>
          <cat>
            <numRef>
              <f>'Tableau de bord'!$B$15:$B$20</f>
            </numRef>
          </cat>
          <val>
            <numRef>
              <f>'Tableau de bord'!$C$15:$C$20</f>
            </numRef>
          </val>
        </ser>
        <ser>
          <idx val="1"/>
          <order val="1"/>
          <tx>
            <strRef>
              <f>'Tableau de bord'!D14</f>
            </strRef>
          </tx>
          <spPr>
            <a:solidFill xmlns:a="http://schemas.openxmlformats.org/drawingml/2006/main">
              <a:srgbClr val="C73939"/>
            </a:solidFill>
            <a:ln xmlns:a="http://schemas.openxmlformats.org/drawingml/2006/main">
              <a:prstDash val="solid"/>
            </a:ln>
          </spPr>
          <cat>
            <numRef>
              <f>'Tableau de bord'!$B$15:$B$20</f>
            </numRef>
          </cat>
          <val>
            <numRef>
              <f>'Tableau de bord'!$D$15:$D$20</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Période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Montant</a:t>
                </a:r>
              </a:p>
            </rich>
          </tx>
        </title>
        <numFmt formatCode="#,##0.00 [$$-fr-CA]" sourceLinked="0"/>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9</col>
      <colOff>0</colOff>
      <row>2</row>
      <rowOff>0</rowOff>
    </from>
    <ext cx="57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18</row>
      <rowOff>0</rowOff>
    </from>
    <ext cx="576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lBudgetCaisse" displayName="tblBudgetCaisse" ref="A1:U101" headerRowCount="1">
  <autoFilter ref="A1:U101"/>
  <tableColumns count="21">
    <tableColumn id="1" name="ID"/>
    <tableColumn id="2" name="Date prévue"/>
    <tableColumn id="3" name="Date réelle"/>
    <tableColumn id="4" name="Période"/>
    <tableColumn id="5" name="Type"/>
    <tableColumn id="6" name="Catégorie"/>
    <tableColumn id="7" name="Description"/>
    <tableColumn id="8" name="Client ou fournisseur"/>
    <tableColumn id="9" name="Statut"/>
    <tableColumn id="10" name="Assujetti TPS"/>
    <tableColumn id="11" name="Assujetti TVQ"/>
    <tableColumn id="12" name="Montant hors taxes"/>
    <tableColumn id="13" name="TPS"/>
    <tableColumn id="14" name="TVQ"/>
    <tableColumn id="15" name="Montant total"/>
    <tableColumn id="16" name="Encaissement"/>
    <tableColumn id="17" name="Décaissement"/>
    <tableColumn id="18" name="Montant réel"/>
    <tableColumn id="19" name="Écart"/>
    <tableColumn id="20" name="Mode de paiement"/>
    <tableColumn id="21" name="Commentaire"/>
  </tableColumns>
  <tableStyleInfo name="TableStyleMedium2" showFirstColumn="0" showLastColumn="0" showRowStripes="1" showColumnStripes="0"/>
</table>
</file>

<file path=xl/tables/table2.xml><?xml version="1.0" encoding="utf-8"?>
<table xmlns="http://schemas.openxmlformats.org/spreadsheetml/2006/main" id="2" name="tblSyntheseMensuelle" displayName="tblSyntheseMensuelle" ref="W3:AG101" headerRowCount="1">
  <autoFilter ref="W3:AG101"/>
  <tableColumns count="11">
    <tableColumn id="23" name="Période"/>
    <tableColumn id="24" name="Solde d’ouverture"/>
    <tableColumn id="25" name="Encaissements prévus"/>
    <tableColumn id="26" name="Décaissements prévus"/>
    <tableColumn id="27" name="Flux net"/>
    <tableColumn id="28" name="Solde de fermeture prévu"/>
    <tableColumn id="29" name="Solde minimal souhaité"/>
    <tableColumn id="30" name="Marge au-dessus du seuil"/>
    <tableColumn id="31" name="Alerte"/>
    <tableColumn id="32" name="Encaissements réels"/>
    <tableColumn id="33" name="Décaissements réel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table" Target="/xl/tables/table1.xml" Id="rId1"/><Relationship Type="http://schemas.openxmlformats.org/officeDocument/2006/relationships/table" Target="/xl/tables/table2.xml" Id="rId2"/></Relationships>
</file>

<file path=xl/worksheets/_rels/sheet4.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H34"/>
  <sheetViews>
    <sheetView showGridLines="0" workbookViewId="0">
      <selection activeCell="A1" sqref="A1"/>
    </sheetView>
  </sheetViews>
  <sheetFormatPr baseColWidth="8" defaultRowHeight="15"/>
  <cols>
    <col width="30" customWidth="1" min="1" max="1"/>
    <col width="22" customWidth="1" min="2" max="2"/>
    <col width="18" customWidth="1" min="3" max="3"/>
    <col width="18" customWidth="1" min="4" max="4"/>
    <col width="18" customWidth="1" min="5" max="5"/>
    <col width="18" customWidth="1" min="6" max="6"/>
    <col width="18" customWidth="1" min="7" max="7"/>
    <col width="18" customWidth="1" min="8" max="8"/>
  </cols>
  <sheetData>
    <row r="1" ht="28" customHeight="1">
      <c r="A1" s="1" t="inlineStr">
        <is>
          <t>Budget de caisse — PME du Québec</t>
        </is>
      </c>
    </row>
    <row r="3">
      <c r="A3" s="2" t="inlineStr">
        <is>
          <t>Utilisation du modèle</t>
        </is>
      </c>
      <c r="B3" s="37" t="n"/>
      <c r="C3" s="37" t="n"/>
      <c r="D3" s="37" t="n"/>
      <c r="E3" s="37" t="n"/>
      <c r="F3" s="37" t="n"/>
      <c r="G3" s="37" t="n"/>
      <c r="H3" s="38" t="n"/>
    </row>
    <row r="4">
      <c r="A4" s="4" t="inlineStr">
        <is>
          <t>• Saisir ou importer les opérations prévues dans la feuille Budget de caisse.</t>
        </is>
      </c>
      <c r="B4" s="37" t="n"/>
      <c r="C4" s="37" t="n"/>
      <c r="D4" s="37" t="n"/>
      <c r="E4" s="37" t="n"/>
      <c r="F4" s="37" t="n"/>
      <c r="G4" s="37" t="n"/>
      <c r="H4" s="38" t="n"/>
    </row>
    <row r="5">
      <c r="A5" s="4" t="inlineStr">
        <is>
          <t>• Utiliser une ligne par encaissement ou décaissement.</t>
        </is>
      </c>
      <c r="B5" s="37" t="n"/>
      <c r="C5" s="37" t="n"/>
      <c r="D5" s="37" t="n"/>
      <c r="E5" s="37" t="n"/>
      <c r="F5" s="37" t="n"/>
      <c r="G5" s="37" t="n"/>
      <c r="H5" s="38" t="n"/>
    </row>
    <row r="6">
      <c r="A6" s="4" t="inlineStr">
        <is>
          <t>• Entrer les montants hors taxes lorsque les colonnes TPS et TVQ sont utilisées.</t>
        </is>
      </c>
      <c r="B6" s="37" t="n"/>
      <c r="C6" s="37" t="n"/>
      <c r="D6" s="37" t="n"/>
      <c r="E6" s="37" t="n"/>
      <c r="F6" s="37" t="n"/>
      <c r="G6" s="37" t="n"/>
      <c r="H6" s="38" t="n"/>
    </row>
    <row r="7">
      <c r="A7" s="4" t="inlineStr">
        <is>
          <t>• Modifier les taux et paramètres dans la feuille Paramètres.</t>
        </is>
      </c>
      <c r="B7" s="37" t="n"/>
      <c r="C7" s="37" t="n"/>
      <c r="D7" s="37" t="n"/>
      <c r="E7" s="37" t="n"/>
      <c r="F7" s="37" t="n"/>
      <c r="G7" s="37" t="n"/>
      <c r="H7" s="38" t="n"/>
    </row>
    <row r="8">
      <c r="A8" s="4" t="inlineStr">
        <is>
          <t>• Les taux affichés sont des paramètres de travail et doivent être validés par l’utilisateur selon sa situation et sa période d’application.</t>
        </is>
      </c>
      <c r="B8" s="37" t="n"/>
      <c r="C8" s="37" t="n"/>
      <c r="D8" s="37" t="n"/>
      <c r="E8" s="37" t="n"/>
      <c r="F8" s="37" t="n"/>
      <c r="G8" s="37" t="n"/>
      <c r="H8" s="38" t="n"/>
    </row>
    <row r="9">
      <c r="A9" s="4" t="inlineStr">
        <is>
          <t>• Le modèle ne remplace pas les registres comptables ni les déclarations à produire auprès de Revenu Québec ou de l’Agence du revenu du Canada.</t>
        </is>
      </c>
      <c r="B9" s="37" t="n"/>
      <c r="C9" s="37" t="n"/>
      <c r="D9" s="37" t="n"/>
      <c r="E9" s="37" t="n"/>
      <c r="F9" s="37" t="n"/>
      <c r="G9" s="37" t="n"/>
      <c r="H9" s="38" t="n"/>
    </row>
    <row r="10">
      <c r="A10" s="4" t="inlineStr">
        <is>
          <t>• Vérifier les écarts entre le budget, les montants réels et les relevés bancaires.</t>
        </is>
      </c>
      <c r="B10" s="37" t="n"/>
      <c r="C10" s="37" t="n"/>
      <c r="D10" s="37" t="n"/>
      <c r="E10" s="37" t="n"/>
      <c r="F10" s="37" t="n"/>
      <c r="G10" s="37" t="n"/>
      <c r="H10" s="38" t="n"/>
    </row>
    <row r="13">
      <c r="A13" s="2" t="inlineStr">
        <is>
          <t>Légende visuelle</t>
        </is>
      </c>
      <c r="B13" s="37" t="n"/>
      <c r="C13" s="37" t="n"/>
      <c r="D13" s="37" t="n"/>
      <c r="E13" s="37" t="n"/>
      <c r="F13" s="37" t="n"/>
      <c r="G13" s="37" t="n"/>
      <c r="H13" s="38" t="n"/>
    </row>
    <row r="14">
      <c r="A14" s="4" t="inlineStr">
        <is>
          <t>• Cellules jaunes : entrées de l’utilisateur.</t>
        </is>
      </c>
      <c r="B14" s="37" t="n"/>
      <c r="C14" s="37" t="n"/>
      <c r="D14" s="37" t="n"/>
      <c r="E14" s="37" t="n"/>
      <c r="F14" s="37" t="n"/>
      <c r="G14" s="37" t="n"/>
      <c r="H14" s="38" t="n"/>
    </row>
    <row r="15">
      <c r="A15" s="4" t="inlineStr">
        <is>
          <t>• Cellules bleues : paramètres modifiables.</t>
        </is>
      </c>
      <c r="B15" s="37" t="n"/>
      <c r="C15" s="37" t="n"/>
      <c r="D15" s="37" t="n"/>
      <c r="E15" s="37" t="n"/>
      <c r="F15" s="37" t="n"/>
      <c r="G15" s="37" t="n"/>
      <c r="H15" s="38" t="n"/>
    </row>
    <row r="16">
      <c r="A16" s="4" t="inlineStr">
        <is>
          <t>• Cellules grises : formules.</t>
        </is>
      </c>
      <c r="B16" s="37" t="n"/>
      <c r="C16" s="37" t="n"/>
      <c r="D16" s="37" t="n"/>
      <c r="E16" s="37" t="n"/>
      <c r="F16" s="37" t="n"/>
      <c r="G16" s="37" t="n"/>
      <c r="H16" s="38" t="n"/>
    </row>
    <row r="17">
      <c r="A17" s="4" t="inlineStr">
        <is>
          <t>• Cellules rouges : avertissements ou contrôles à corriger.</t>
        </is>
      </c>
      <c r="B17" s="37" t="n"/>
      <c r="C17" s="37" t="n"/>
      <c r="D17" s="37" t="n"/>
      <c r="E17" s="37" t="n"/>
      <c r="F17" s="37" t="n"/>
      <c r="G17" s="37" t="n"/>
      <c r="H17" s="38" t="n"/>
    </row>
    <row r="18">
      <c r="A18" s="4" t="inlineStr">
        <is>
          <t>• Cellules vertes : résultats favorables ou contrôles réussis.</t>
        </is>
      </c>
      <c r="B18" s="37" t="n"/>
      <c r="C18" s="37" t="n"/>
      <c r="D18" s="37" t="n"/>
      <c r="E18" s="37" t="n"/>
      <c r="F18" s="37" t="n"/>
      <c r="G18" s="37" t="n"/>
      <c r="H18" s="38" t="n"/>
    </row>
    <row r="21">
      <c r="A21" s="2" t="inlineStr">
        <is>
          <t>Définition des principaux champs</t>
        </is>
      </c>
      <c r="B21" s="37" t="n"/>
      <c r="C21" s="37" t="n"/>
      <c r="D21" s="37" t="n"/>
      <c r="E21" s="37" t="n"/>
      <c r="F21" s="37" t="n"/>
      <c r="G21" s="37" t="n"/>
      <c r="H21" s="38" t="n"/>
    </row>
    <row r="22">
      <c r="A22" s="4" t="inlineStr">
        <is>
          <t>• Encaissement : entrée de fonds prévue ou reçue.</t>
        </is>
      </c>
      <c r="B22" s="37" t="n"/>
      <c r="C22" s="37" t="n"/>
      <c r="D22" s="37" t="n"/>
      <c r="E22" s="37" t="n"/>
      <c r="F22" s="37" t="n"/>
      <c r="G22" s="37" t="n"/>
      <c r="H22" s="38" t="n"/>
    </row>
    <row r="23">
      <c r="A23" s="4" t="inlineStr">
        <is>
          <t>• Décaissement : sortie de fonds prévue ou payée.</t>
        </is>
      </c>
      <c r="B23" s="37" t="n"/>
      <c r="C23" s="37" t="n"/>
      <c r="D23" s="37" t="n"/>
      <c r="E23" s="37" t="n"/>
      <c r="F23" s="37" t="n"/>
      <c r="G23" s="37" t="n"/>
      <c r="H23" s="38" t="n"/>
    </row>
    <row r="24">
      <c r="A24" s="4" t="inlineStr">
        <is>
          <t>• Montant hors taxes : montant avant TPS et TVQ.</t>
        </is>
      </c>
      <c r="B24" s="37" t="n"/>
      <c r="C24" s="37" t="n"/>
      <c r="D24" s="37" t="n"/>
      <c r="E24" s="37" t="n"/>
      <c r="F24" s="37" t="n"/>
      <c r="G24" s="37" t="n"/>
      <c r="H24" s="38" t="n"/>
    </row>
    <row r="25">
      <c r="A25" s="4" t="inlineStr">
        <is>
          <t>• TPS : montant de TPS associé à l’opération, si applicable.</t>
        </is>
      </c>
      <c r="B25" s="37" t="n"/>
      <c r="C25" s="37" t="n"/>
      <c r="D25" s="37" t="n"/>
      <c r="E25" s="37" t="n"/>
      <c r="F25" s="37" t="n"/>
      <c r="G25" s="37" t="n"/>
      <c r="H25" s="38" t="n"/>
    </row>
    <row r="26">
      <c r="A26" s="4" t="inlineStr">
        <is>
          <t>• TVQ : montant de TVQ associé à l’opération, si applicable.</t>
        </is>
      </c>
      <c r="B26" s="37" t="n"/>
      <c r="C26" s="37" t="n"/>
      <c r="D26" s="37" t="n"/>
      <c r="E26" s="37" t="n"/>
      <c r="F26" s="37" t="n"/>
      <c r="G26" s="37" t="n"/>
      <c r="H26" s="38" t="n"/>
    </row>
    <row r="27">
      <c r="A27" s="4" t="inlineStr">
        <is>
          <t>• Montant total : montant hors taxes plus taxes.</t>
        </is>
      </c>
      <c r="B27" s="37" t="n"/>
      <c r="C27" s="37" t="n"/>
      <c r="D27" s="37" t="n"/>
      <c r="E27" s="37" t="n"/>
      <c r="F27" s="37" t="n"/>
      <c r="G27" s="37" t="n"/>
      <c r="H27" s="38" t="n"/>
    </row>
    <row r="28">
      <c r="A28" s="4" t="inlineStr">
        <is>
          <t>• Solde de fermeture : solde de trésorerie après les mouvements de la période.</t>
        </is>
      </c>
      <c r="B28" s="37" t="n"/>
      <c r="C28" s="37" t="n"/>
      <c r="D28" s="37" t="n"/>
      <c r="E28" s="37" t="n"/>
      <c r="F28" s="37" t="n"/>
      <c r="G28" s="37" t="n"/>
      <c r="H28" s="38" t="n"/>
    </row>
    <row r="29">
      <c r="A29" s="4" t="inlineStr">
        <is>
          <t>• Solde minimal souhaité : seuil interne de liquidités déterminé par l’entreprise.</t>
        </is>
      </c>
      <c r="B29" s="37" t="n"/>
      <c r="C29" s="37" t="n"/>
      <c r="D29" s="37" t="n"/>
      <c r="E29" s="37" t="n"/>
      <c r="F29" s="37" t="n"/>
      <c r="G29" s="37" t="n"/>
      <c r="H29" s="38" t="n"/>
    </row>
    <row r="31">
      <c r="A31" s="2" t="inlineStr">
        <is>
          <t>Avertissement fiscal</t>
        </is>
      </c>
      <c r="B31" s="37" t="n"/>
      <c r="C31" s="37" t="n"/>
      <c r="D31" s="37" t="n"/>
      <c r="E31" s="37" t="n"/>
      <c r="F31" s="37" t="n"/>
      <c r="G31" s="37" t="n"/>
      <c r="H31" s="38" t="n"/>
    </row>
    <row r="32">
      <c r="A32" s="10" t="inlineStr">
        <is>
          <t>Les taux de TPS et de TVQ sont modifiables dans la feuille Paramètres. Le modèle ne détermine pas l’admissibilité à la récupération des taxes, les règles de date d’exigibilité, les règles de petite entreprise, ni les obligations particulières d’une entreprise. Valider les hypothèses avec un professionnel ou avec les sources officielles de Revenu Québec et de l’ARC.</t>
        </is>
      </c>
      <c r="B32" s="39" t="n"/>
      <c r="C32" s="39" t="n"/>
      <c r="D32" s="39" t="n"/>
      <c r="E32" s="39" t="n"/>
      <c r="F32" s="39" t="n"/>
      <c r="G32" s="39" t="n"/>
      <c r="H32" s="40" t="n"/>
    </row>
    <row r="33">
      <c r="A33" s="41" t="n"/>
      <c r="H33" s="42" t="n"/>
    </row>
    <row r="34">
      <c r="A34" s="43" t="n"/>
      <c r="B34" s="44" t="n"/>
      <c r="C34" s="44" t="n"/>
      <c r="D34" s="44" t="n"/>
      <c r="E34" s="44" t="n"/>
      <c r="F34" s="44" t="n"/>
      <c r="G34" s="44" t="n"/>
      <c r="H34" s="45" t="n"/>
    </row>
  </sheetData>
  <mergeCells count="26">
    <mergeCell ref="A1:H1"/>
    <mergeCell ref="A3:H3"/>
    <mergeCell ref="A4:H4"/>
    <mergeCell ref="A5:H5"/>
    <mergeCell ref="A6:H6"/>
    <mergeCell ref="A7:H7"/>
    <mergeCell ref="A8:H8"/>
    <mergeCell ref="A9:H9"/>
    <mergeCell ref="A10:H10"/>
    <mergeCell ref="A13:H13"/>
    <mergeCell ref="A14:H14"/>
    <mergeCell ref="A15:H15"/>
    <mergeCell ref="A16:H16"/>
    <mergeCell ref="A17:H17"/>
    <mergeCell ref="A18:H18"/>
    <mergeCell ref="A21:H21"/>
    <mergeCell ref="A22:H22"/>
    <mergeCell ref="A23:H23"/>
    <mergeCell ref="A24:H24"/>
    <mergeCell ref="A25:H25"/>
    <mergeCell ref="A26:H26"/>
    <mergeCell ref="A27:H27"/>
    <mergeCell ref="A28:H28"/>
    <mergeCell ref="A29:H29"/>
    <mergeCell ref="A31:H31"/>
    <mergeCell ref="A32:H3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3"/>
  <sheetViews>
    <sheetView showGridLines="0" workbookViewId="0">
      <pane ySplit="3" topLeftCell="A4" activePane="bottomLeft" state="frozen"/>
      <selection pane="bottomLeft" activeCell="A1" sqref="A1"/>
    </sheetView>
  </sheetViews>
  <sheetFormatPr baseColWidth="8" defaultRowHeight="15"/>
  <cols>
    <col width="38" customWidth="1" min="1" max="1"/>
    <col width="24" customWidth="1" min="2" max="2"/>
    <col width="44" customWidth="1" min="3" max="3"/>
  </cols>
  <sheetData>
    <row r="1" ht="28" customHeight="1">
      <c r="A1" s="1" t="inlineStr">
        <is>
          <t>Paramètres du budget de caisse</t>
        </is>
      </c>
    </row>
    <row r="3">
      <c r="A3" s="11" t="inlineStr">
        <is>
          <t>Paramètre</t>
        </is>
      </c>
      <c r="B3" s="11" t="inlineStr">
        <is>
          <t>Valeur</t>
        </is>
      </c>
      <c r="C3" s="11" t="inlineStr">
        <is>
          <t>Précision</t>
        </is>
      </c>
    </row>
    <row r="4">
      <c r="A4" s="2" t="inlineStr">
        <is>
          <t>Section A — Informations générales</t>
        </is>
      </c>
      <c r="B4" s="12" t="n"/>
      <c r="C4" s="12" t="n"/>
    </row>
    <row r="5">
      <c r="A5" s="13" t="inlineStr">
        <is>
          <t>Nom de l’entreprise</t>
        </is>
      </c>
      <c r="B5" s="14" t="inlineStr">
        <is>
          <t>Atelier Nordik inc.</t>
        </is>
      </c>
      <c r="C5" s="15" t="inlineStr">
        <is>
          <t>Nom utilisé dans les rapports internes</t>
        </is>
      </c>
    </row>
    <row r="6">
      <c r="A6" s="13" t="inlineStr">
        <is>
          <t>Province</t>
        </is>
      </c>
      <c r="B6" s="14" t="inlineStr">
        <is>
          <t>Québec</t>
        </is>
      </c>
      <c r="C6" s="15" t="inlineStr">
        <is>
          <t>Liste limitée à Québec</t>
        </is>
      </c>
    </row>
    <row r="7">
      <c r="A7" s="13" t="inlineStr">
        <is>
          <t>Devise</t>
        </is>
      </c>
      <c r="B7" s="14" t="inlineStr">
        <is>
          <t>CAD</t>
        </is>
      </c>
      <c r="C7" s="15" t="inlineStr">
        <is>
          <t>CAD — dollar canadien</t>
        </is>
      </c>
    </row>
    <row r="8">
      <c r="A8" s="13" t="inlineStr">
        <is>
          <t>Date de début du budget</t>
        </is>
      </c>
      <c r="B8" s="16" t="n">
        <v>46113</v>
      </c>
      <c r="C8" s="15" t="inlineStr">
        <is>
          <t>Début de la période mensuelle</t>
        </is>
      </c>
    </row>
    <row r="9">
      <c r="A9" s="13" t="inlineStr">
        <is>
          <t>Date de fin du budget</t>
        </is>
      </c>
      <c r="B9" s="16" t="n">
        <v>46295</v>
      </c>
      <c r="C9" s="15" t="inlineStr">
        <is>
          <t>Fin de la période mensuelle</t>
        </is>
      </c>
    </row>
    <row r="10">
      <c r="A10" s="13" t="inlineStr">
        <is>
          <t>Solde initial de trésorerie</t>
        </is>
      </c>
      <c r="B10" s="17" t="n">
        <v>18500</v>
      </c>
      <c r="C10" s="15" t="inlineStr">
        <is>
          <t>Solde disponible avant les mouvements</t>
        </is>
      </c>
    </row>
    <row r="11">
      <c r="A11" s="13" t="inlineStr">
        <is>
          <t>Solde minimal souhaité</t>
        </is>
      </c>
      <c r="B11" s="17" t="n">
        <v>10000</v>
      </c>
      <c r="C11" s="15" t="inlineStr">
        <is>
          <t>Seuil interne de liquidités</t>
        </is>
      </c>
    </row>
    <row r="13">
      <c r="A13" s="2" t="inlineStr">
        <is>
          <t>Section B — Taxes</t>
        </is>
      </c>
      <c r="B13" s="12" t="n"/>
      <c r="C13" s="12" t="n"/>
    </row>
    <row r="14">
      <c r="A14" s="13" t="inlineStr">
        <is>
          <t>Taux TPS</t>
        </is>
      </c>
      <c r="B14" s="18" t="n">
        <v>0.05</v>
      </c>
      <c r="C14" s="15" t="inlineStr">
        <is>
          <t>Taux modifiable selon la situation</t>
        </is>
      </c>
    </row>
    <row r="15">
      <c r="A15" s="13" t="inlineStr">
        <is>
          <t>Taux TVQ</t>
        </is>
      </c>
      <c r="B15" s="18" t="n">
        <v>0.09975000000000001</v>
      </c>
      <c r="C15" s="15" t="inlineStr">
        <is>
          <t>Taux modifiable selon la situation</t>
        </is>
      </c>
    </row>
    <row r="16">
      <c r="A16" s="13" t="inlineStr">
        <is>
          <t>Appliquer les taxes automatiquement</t>
        </is>
      </c>
      <c r="B16" s="14" t="inlineStr">
        <is>
          <t>Oui</t>
        </is>
      </c>
      <c r="C16" s="15" t="inlineStr">
        <is>
          <t>Oui ou Non</t>
        </is>
      </c>
    </row>
    <row r="18">
      <c r="A18" s="19" t="inlineStr">
        <is>
          <t>Vérifier les taux applicables et leur période d’application avant utilisation réelle.</t>
        </is>
      </c>
      <c r="B18" s="37" t="n"/>
      <c r="C18" s="38" t="n"/>
    </row>
    <row r="20">
      <c r="A20" s="2" t="inlineStr">
        <is>
          <t>Section C — Seuils et contrôle</t>
        </is>
      </c>
      <c r="B20" s="12" t="n"/>
      <c r="C20" s="12" t="n"/>
    </row>
    <row r="21">
      <c r="A21" s="13" t="inlineStr">
        <is>
          <t>Seuil d’alerte du solde</t>
        </is>
      </c>
      <c r="B21" s="17" t="n">
        <v>10000</v>
      </c>
      <c r="C21" s="15" t="inlineStr">
        <is>
          <t>Seuil de contrôle de trésorerie</t>
        </is>
      </c>
    </row>
    <row r="22">
      <c r="A22" s="13" t="inlineStr">
        <is>
          <t>Tolérance de rapprochement</t>
        </is>
      </c>
      <c r="B22" s="17" t="n">
        <v>0.01</v>
      </c>
      <c r="C22" s="15" t="inlineStr">
        <is>
          <t>Écart maximal accepté pour les contrôles</t>
        </is>
      </c>
    </row>
    <row r="23">
      <c r="A23" s="13" t="inlineStr">
        <is>
          <t>Périodicité du budget</t>
        </is>
      </c>
      <c r="B23" s="14" t="inlineStr">
        <is>
          <t>Mensuelle</t>
        </is>
      </c>
      <c r="C23" s="15" t="inlineStr">
        <is>
          <t>Version mensuelle du modèle</t>
        </is>
      </c>
    </row>
  </sheetData>
  <mergeCells count="2">
    <mergeCell ref="A1:C1"/>
    <mergeCell ref="A18:C18"/>
  </mergeCells>
  <dataValidations count="7">
    <dataValidation sqref="B6" showErrorMessage="1" showInputMessage="1" allowBlank="0" type="list">
      <formula1>"Québec"</formula1>
    </dataValidation>
    <dataValidation sqref="B7" showErrorMessage="1" showInputMessage="1" allowBlank="0" type="list">
      <formula1>"CAD"</formula1>
    </dataValidation>
    <dataValidation sqref="B16" showErrorMessage="1" showInputMessage="1" allowBlank="0" type="list">
      <formula1>"Oui,Non"</formula1>
    </dataValidation>
    <dataValidation sqref="B23" showErrorMessage="1" showInputMessage="1" allowBlank="0" type="list">
      <formula1>"Mensuelle"</formula1>
    </dataValidation>
    <dataValidation sqref="B14:B15" showErrorMessage="1" showInputMessage="1" allowBlank="0" type="decimal" operator="between">
      <formula1>0</formula1>
      <formula2>1</formula2>
    </dataValidation>
    <dataValidation sqref="B10:B11 B21:B22" showErrorMessage="1" showInputMessage="1" allowBlank="0" type="decimal" operator="greaterThanOrEqual">
      <formula1>0</formula1>
    </dataValidation>
    <dataValidation sqref="B8:B9" showErrorMessage="1" showInputMessage="1" allowBlank="0" type="date" operator="between">
      <formula1>DATE(2000,1,1)</formula1>
      <formula2>DATE(2100,12,31)</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G119"/>
  <sheetViews>
    <sheetView showGridLines="0" workbookViewId="0">
      <pane ySplit="1" topLeftCell="A2" activePane="bottomLeft" state="frozen"/>
      <selection pane="bottomLeft" activeCell="A1" sqref="A1"/>
    </sheetView>
  </sheetViews>
  <sheetFormatPr baseColWidth="8" defaultRowHeight="15"/>
  <cols>
    <col width="13" customWidth="1" min="1" max="1"/>
    <col width="13" customWidth="1" min="2" max="2"/>
    <col width="13" customWidth="1" min="3" max="3"/>
    <col width="12" customWidth="1" min="4" max="4"/>
    <col width="15" customWidth="1" min="5" max="5"/>
    <col width="29" customWidth="1" min="6" max="6"/>
    <col width="31" customWidth="1" min="7" max="7"/>
    <col width="31" customWidth="1" min="8" max="8"/>
    <col width="13" customWidth="1" min="9" max="9"/>
    <col width="15" customWidth="1" min="10" max="10"/>
    <col width="15" customWidth="1" min="11" max="11"/>
    <col width="18" customWidth="1" min="12" max="12"/>
    <col width="14" customWidth="1" min="13" max="13"/>
    <col width="14" customWidth="1" min="14" max="14"/>
    <col width="17" customWidth="1" min="15" max="15"/>
    <col width="17" customWidth="1" min="16" max="16"/>
    <col width="17" customWidth="1" min="17" max="17"/>
    <col width="16" customWidth="1" min="18" max="18"/>
    <col width="14" customWidth="1" min="19" max="19"/>
    <col width="24" customWidth="1" min="20" max="20"/>
    <col width="30" customWidth="1" min="21" max="21"/>
    <col width="3" customWidth="1" min="22" max="22"/>
    <col width="14" customWidth="1" min="23" max="23"/>
    <col width="18" customWidth="1" min="24" max="24"/>
    <col width="20" customWidth="1" min="25" max="25"/>
    <col width="21" customWidth="1" min="26" max="26"/>
    <col width="16" customWidth="1" min="27" max="27"/>
    <col width="23" customWidth="1" min="28" max="28"/>
    <col width="22" customWidth="1" min="29" max="29"/>
    <col width="22" customWidth="1" min="30" max="30"/>
    <col width="16" customWidth="1" min="31" max="31"/>
    <col width="19" customWidth="1" min="32" max="32"/>
    <col width="20" customWidth="1" min="33" max="33"/>
  </cols>
  <sheetData>
    <row r="1">
      <c r="A1" s="11" t="inlineStr">
        <is>
          <t>ID</t>
        </is>
      </c>
      <c r="B1" s="11" t="inlineStr">
        <is>
          <t>Date prévue</t>
        </is>
      </c>
      <c r="C1" s="11" t="inlineStr">
        <is>
          <t>Date réelle</t>
        </is>
      </c>
      <c r="D1" s="11" t="inlineStr">
        <is>
          <t>Période</t>
        </is>
      </c>
      <c r="E1" s="11" t="inlineStr">
        <is>
          <t>Type</t>
        </is>
      </c>
      <c r="F1" s="11" t="inlineStr">
        <is>
          <t>Catégorie</t>
        </is>
      </c>
      <c r="G1" s="11" t="inlineStr">
        <is>
          <t>Description</t>
        </is>
      </c>
      <c r="H1" s="11" t="inlineStr">
        <is>
          <t>Client ou fournisseur</t>
        </is>
      </c>
      <c r="I1" s="11" t="inlineStr">
        <is>
          <t>Statut</t>
        </is>
      </c>
      <c r="J1" s="11" t="inlineStr">
        <is>
          <t>Assujetti TPS</t>
        </is>
      </c>
      <c r="K1" s="11" t="inlineStr">
        <is>
          <t>Assujetti TVQ</t>
        </is>
      </c>
      <c r="L1" s="11" t="inlineStr">
        <is>
          <t>Montant hors taxes</t>
        </is>
      </c>
      <c r="M1" s="11" t="inlineStr">
        <is>
          <t>TPS</t>
        </is>
      </c>
      <c r="N1" s="11" t="inlineStr">
        <is>
          <t>TVQ</t>
        </is>
      </c>
      <c r="O1" s="11" t="inlineStr">
        <is>
          <t>Montant total</t>
        </is>
      </c>
      <c r="P1" s="11" t="inlineStr">
        <is>
          <t>Encaissement</t>
        </is>
      </c>
      <c r="Q1" s="11" t="inlineStr">
        <is>
          <t>Décaissement</t>
        </is>
      </c>
      <c r="R1" s="11" t="inlineStr">
        <is>
          <t>Montant réel</t>
        </is>
      </c>
      <c r="S1" s="11" t="inlineStr">
        <is>
          <t>Écart</t>
        </is>
      </c>
      <c r="T1" s="11" t="inlineStr">
        <is>
          <t>Mode de paiement</t>
        </is>
      </c>
      <c r="U1" s="11" t="inlineStr">
        <is>
          <t>Commentaire</t>
        </is>
      </c>
    </row>
    <row r="2">
      <c r="A2" s="20" t="inlineStr">
        <is>
          <t>BC-001</t>
        </is>
      </c>
      <c r="B2" s="21" t="n">
        <v>46114</v>
      </c>
      <c r="C2" s="21" t="n">
        <v>46114</v>
      </c>
      <c r="D2" s="22">
        <f>IF(B2="","",IFERROR(TEXT(B2,"yyyy-mm"),""))</f>
        <v/>
      </c>
      <c r="E2" s="20" t="inlineStr">
        <is>
          <t>Encaissement</t>
        </is>
      </c>
      <c r="F2" s="20" t="inlineStr">
        <is>
          <t>Ventes</t>
        </is>
      </c>
      <c r="G2" s="23" t="inlineStr">
        <is>
          <t>Facture F-1045</t>
        </is>
      </c>
      <c r="H2" s="23" t="inlineStr">
        <is>
          <t>Café Boréal</t>
        </is>
      </c>
      <c r="I2" s="20" t="inlineStr">
        <is>
          <t>Réalisé</t>
        </is>
      </c>
      <c r="J2" s="20" t="inlineStr">
        <is>
          <t>Oui</t>
        </is>
      </c>
      <c r="K2" s="20" t="inlineStr">
        <is>
          <t>Oui</t>
        </is>
      </c>
      <c r="L2" s="24" t="n">
        <v>3200</v>
      </c>
      <c r="M2" s="25">
        <f>IF(L2="","",IFERROR(IF(AND(J2="Oui",'Paramètres'!$B$16="Oui"),L2*'Paramètres'!$B$14,0),0))</f>
        <v/>
      </c>
      <c r="N2" s="25">
        <f>IF(L2="","",IFERROR(IF(AND(K2="Oui",'Paramètres'!$B$16="Oui"),L2*'Paramètres'!$B$15,0),0))</f>
        <v/>
      </c>
      <c r="O2" s="25">
        <f>IF(L2="","",IFERROR(L2+M2+N2,0))</f>
        <v/>
      </c>
      <c r="P2" s="25">
        <f>IF(A2="","",IFERROR(IF(E2="Encaissement",O2,0),0))</f>
        <v/>
      </c>
      <c r="Q2" s="25">
        <f>IF(A2="","",IFERROR(IF(E2="Décaissement",O2,0),0))</f>
        <v/>
      </c>
      <c r="R2" s="24" t="n">
        <v>3679.2</v>
      </c>
      <c r="S2" s="25">
        <f>IF(R2="","",IFERROR(R2-O2,""))</f>
        <v/>
      </c>
      <c r="T2" s="20" t="inlineStr">
        <is>
          <t>Virement</t>
        </is>
      </c>
      <c r="U2" s="23" t="inlineStr">
        <is>
          <t>Paiement reçu</t>
        </is>
      </c>
    </row>
    <row r="3">
      <c r="A3" s="20" t="inlineStr">
        <is>
          <t>BC-002</t>
        </is>
      </c>
      <c r="B3" s="21" t="n">
        <v>46116</v>
      </c>
      <c r="C3" s="21" t="n">
        <v>46116</v>
      </c>
      <c r="D3" s="22">
        <f>IF(B3="","",IFERROR(TEXT(B3,"yyyy-mm"),""))</f>
        <v/>
      </c>
      <c r="E3" s="20" t="inlineStr">
        <is>
          <t>Décaissement</t>
        </is>
      </c>
      <c r="F3" s="20" t="inlineStr">
        <is>
          <t>Loyer</t>
        </is>
      </c>
      <c r="G3" s="23" t="inlineStr">
        <is>
          <t>Loyer du local d’avril</t>
        </is>
      </c>
      <c r="H3" s="23" t="inlineStr">
        <is>
          <t>Gestion Immobilière Laval</t>
        </is>
      </c>
      <c r="I3" s="20" t="inlineStr">
        <is>
          <t>Réalisé</t>
        </is>
      </c>
      <c r="J3" s="20" t="inlineStr">
        <is>
          <t>Non</t>
        </is>
      </c>
      <c r="K3" s="20" t="inlineStr">
        <is>
          <t>Non</t>
        </is>
      </c>
      <c r="L3" s="24" t="n">
        <v>2450</v>
      </c>
      <c r="M3" s="25">
        <f>IF(L3="","",IFERROR(IF(AND(J3="Oui",'Paramètres'!$B$16="Oui"),L3*'Paramètres'!$B$14,0),0))</f>
        <v/>
      </c>
      <c r="N3" s="25">
        <f>IF(L3="","",IFERROR(IF(AND(K3="Oui",'Paramètres'!$B$16="Oui"),L3*'Paramètres'!$B$15,0),0))</f>
        <v/>
      </c>
      <c r="O3" s="25">
        <f>IF(L3="","",IFERROR(L3+M3+N3,0))</f>
        <v/>
      </c>
      <c r="P3" s="25">
        <f>IF(A3="","",IFERROR(IF(E3="Encaissement",O3,0),0))</f>
        <v/>
      </c>
      <c r="Q3" s="25">
        <f>IF(A3="","",IFERROR(IF(E3="Décaissement",O3,0),0))</f>
        <v/>
      </c>
      <c r="R3" s="24" t="n">
        <v>2450</v>
      </c>
      <c r="S3" s="25">
        <f>IF(R3="","",IFERROR(R3-O3,""))</f>
        <v/>
      </c>
      <c r="T3" s="20" t="inlineStr">
        <is>
          <t>Prélèvement automatique</t>
        </is>
      </c>
      <c r="U3" s="23" t="inlineStr">
        <is>
          <t>Paiement mensuel</t>
        </is>
      </c>
      <c r="W3" s="11" t="inlineStr">
        <is>
          <t>Période</t>
        </is>
      </c>
      <c r="X3" s="11" t="inlineStr">
        <is>
          <t>Solde d’ouverture</t>
        </is>
      </c>
      <c r="Y3" s="11" t="inlineStr">
        <is>
          <t>Encaissements prévus</t>
        </is>
      </c>
      <c r="Z3" s="11" t="inlineStr">
        <is>
          <t>Décaissements prévus</t>
        </is>
      </c>
      <c r="AA3" s="11" t="inlineStr">
        <is>
          <t>Flux net</t>
        </is>
      </c>
      <c r="AB3" s="11" t="inlineStr">
        <is>
          <t>Solde de fermeture prévu</t>
        </is>
      </c>
      <c r="AC3" s="11" t="inlineStr">
        <is>
          <t>Solde minimal souhaité</t>
        </is>
      </c>
      <c r="AD3" s="11" t="inlineStr">
        <is>
          <t>Marge au-dessus du seuil</t>
        </is>
      </c>
      <c r="AE3" s="11" t="inlineStr">
        <is>
          <t>Alerte</t>
        </is>
      </c>
      <c r="AF3" s="11" t="inlineStr">
        <is>
          <t>Encaissements réels</t>
        </is>
      </c>
      <c r="AG3" s="11" t="inlineStr">
        <is>
          <t>Décaissements réels</t>
        </is>
      </c>
    </row>
    <row r="4">
      <c r="A4" s="20" t="inlineStr">
        <is>
          <t>BC-003</t>
        </is>
      </c>
      <c r="B4" s="21" t="n">
        <v>46120</v>
      </c>
      <c r="C4" s="21" t="n">
        <v>46121</v>
      </c>
      <c r="D4" s="22">
        <f>IF(B4="","",IFERROR(TEXT(B4,"yyyy-mm"),""))</f>
        <v/>
      </c>
      <c r="E4" s="20" t="inlineStr">
        <is>
          <t>Décaissement</t>
        </is>
      </c>
      <c r="F4" s="20" t="inlineStr">
        <is>
          <t>Fournitures</t>
        </is>
      </c>
      <c r="G4" s="23" t="inlineStr">
        <is>
          <t>Matériel d’emballage</t>
        </is>
      </c>
      <c r="H4" s="23" t="inlineStr">
        <is>
          <t>Emballages Montréal</t>
        </is>
      </c>
      <c r="I4" s="20" t="inlineStr">
        <is>
          <t>Réalisé</t>
        </is>
      </c>
      <c r="J4" s="20" t="inlineStr">
        <is>
          <t>Oui</t>
        </is>
      </c>
      <c r="K4" s="20" t="inlineStr">
        <is>
          <t>Oui</t>
        </is>
      </c>
      <c r="L4" s="24" t="n">
        <v>685</v>
      </c>
      <c r="M4" s="25">
        <f>IF(L4="","",IFERROR(IF(AND(J4="Oui",'Paramètres'!$B$16="Oui"),L4*'Paramètres'!$B$14,0),0))</f>
        <v/>
      </c>
      <c r="N4" s="25">
        <f>IF(L4="","",IFERROR(IF(AND(K4="Oui",'Paramètres'!$B$16="Oui"),L4*'Paramètres'!$B$15,0),0))</f>
        <v/>
      </c>
      <c r="O4" s="25">
        <f>IF(L4="","",IFERROR(L4+M4+N4,0))</f>
        <v/>
      </c>
      <c r="P4" s="25">
        <f>IF(A4="","",IFERROR(IF(E4="Encaissement",O4,0),0))</f>
        <v/>
      </c>
      <c r="Q4" s="25">
        <f>IF(A4="","",IFERROR(IF(E4="Décaissement",O4,0),0))</f>
        <v/>
      </c>
      <c r="R4" s="24" t="n">
        <v>787.58</v>
      </c>
      <c r="S4" s="25">
        <f>IF(R4="","",IFERROR(R4-O4,""))</f>
        <v/>
      </c>
      <c r="T4" s="20" t="inlineStr">
        <is>
          <t>Carte de crédit</t>
        </is>
      </c>
      <c r="U4" s="23" t="inlineStr">
        <is>
          <t>Facture fournisseur</t>
        </is>
      </c>
      <c r="W4" s="26">
        <f>IF('Paramètres'!$B$8="","",IF(DATE(YEAR('Paramètres'!$B$8),MONTH('Paramètres'!$B$8)+0,1)&gt;'Paramètres'!$B$9,"",DATE(YEAR('Paramètres'!$B$8),MONTH('Paramètres'!$B$8)+0,1)))</f>
        <v/>
      </c>
      <c r="X4" s="27">
        <f>IF($W4="","",IFERROR('Paramètres'!$B$10,0))</f>
        <v/>
      </c>
      <c r="Y4" s="27">
        <f>IF($W4="","",IFERROR(SUMIFS($P$2:$P$101,$D$2:$D$101,TEXT($W4,"yyyy-mm"),$I$2:$I$101,"&lt;&gt;Annulé"),0))</f>
        <v/>
      </c>
      <c r="Z4" s="27">
        <f>IF($W4="","",IFERROR(SUMIFS($Q$2:$Q$101,$D$2:$D$101,TEXT($W4,"yyyy-mm"),$I$2:$I$101,"&lt;&gt;Annulé"),0))</f>
        <v/>
      </c>
      <c r="AA4" s="27">
        <f>IF($W4="","",IFERROR($Y4-$Z4,0))</f>
        <v/>
      </c>
      <c r="AB4" s="27">
        <f>IF($W4="","",IFERROR($X4+$AA4,0))</f>
        <v/>
      </c>
      <c r="AC4" s="27">
        <f>IF($W4="","",IFERROR('Paramètres'!$B$11,0))</f>
        <v/>
      </c>
      <c r="AD4" s="27">
        <f>IF($W4="","",IFERROR($AB4-$AC4,0))</f>
        <v/>
      </c>
      <c r="AE4" s="28">
        <f>IF($W4="","",IFERROR(IF($AB4&lt;$AC4,"À surveiller","OK"),"À vérifier"))</f>
        <v/>
      </c>
      <c r="AF4" s="27">
        <f>IF($W4="","",IFERROR(SUMIFS($R$2:$R$101,$D$2:$D$101,TEXT($W4,"yyyy-mm"),$E$2:$E$101,"Encaissement",$I$2:$I$101,"Réalisé"),0))</f>
        <v/>
      </c>
      <c r="AG4" s="27">
        <f>IF($W4="","",IFERROR(SUMIFS($R$2:$R$101,$D$2:$D$101,TEXT($W4,"yyyy-mm"),$E$2:$E$101,"Décaissement",$I$2:$I$101,"Réalisé"),0))</f>
        <v/>
      </c>
    </row>
    <row r="5">
      <c r="A5" s="20" t="inlineStr">
        <is>
          <t>BC-004</t>
        </is>
      </c>
      <c r="B5" s="21" t="n">
        <v>46127</v>
      </c>
      <c r="C5" s="21" t="n"/>
      <c r="D5" s="22">
        <f>IF(B5="","",IFERROR(TEXT(B5,"yyyy-mm"),""))</f>
        <v/>
      </c>
      <c r="E5" s="20" t="inlineStr">
        <is>
          <t>Encaissement</t>
        </is>
      </c>
      <c r="F5" s="20" t="inlineStr">
        <is>
          <t>Revenus professionnels</t>
        </is>
      </c>
      <c r="G5" s="23" t="inlineStr">
        <is>
          <t>Mandat conseil — étape 1</t>
        </is>
      </c>
      <c r="H5" s="23" t="inlineStr">
        <is>
          <t>Solutions Rivière inc.</t>
        </is>
      </c>
      <c r="I5" s="20" t="inlineStr">
        <is>
          <t>Prévu</t>
        </is>
      </c>
      <c r="J5" s="20" t="inlineStr">
        <is>
          <t>Oui</t>
        </is>
      </c>
      <c r="K5" s="20" t="inlineStr">
        <is>
          <t>Oui</t>
        </is>
      </c>
      <c r="L5" s="24" t="n">
        <v>4800</v>
      </c>
      <c r="M5" s="25">
        <f>IF(L5="","",IFERROR(IF(AND(J5="Oui",'Paramètres'!$B$16="Oui"),L5*'Paramètres'!$B$14,0),0))</f>
        <v/>
      </c>
      <c r="N5" s="25">
        <f>IF(L5="","",IFERROR(IF(AND(K5="Oui",'Paramètres'!$B$16="Oui"),L5*'Paramètres'!$B$15,0),0))</f>
        <v/>
      </c>
      <c r="O5" s="25">
        <f>IF(L5="","",IFERROR(L5+M5+N5,0))</f>
        <v/>
      </c>
      <c r="P5" s="25">
        <f>IF(A5="","",IFERROR(IF(E5="Encaissement",O5,0),0))</f>
        <v/>
      </c>
      <c r="Q5" s="25">
        <f>IF(A5="","",IFERROR(IF(E5="Décaissement",O5,0),0))</f>
        <v/>
      </c>
      <c r="R5" s="24" t="n"/>
      <c r="S5" s="25">
        <f>IF(R5="","",IFERROR(R5-O5,""))</f>
        <v/>
      </c>
      <c r="T5" s="20" t="inlineStr">
        <is>
          <t>Virement</t>
        </is>
      </c>
      <c r="U5" s="23" t="inlineStr">
        <is>
          <t>En attente de facturation</t>
        </is>
      </c>
      <c r="W5" s="26">
        <f>IF('Paramètres'!$B$8="","",IF(DATE(YEAR('Paramètres'!$B$8),MONTH('Paramètres'!$B$8)+1,1)&gt;'Paramètres'!$B$9,"",DATE(YEAR('Paramètres'!$B$8),MONTH('Paramètres'!$B$8)+1,1)))</f>
        <v/>
      </c>
      <c r="X5" s="27">
        <f>IF($W5="","",IFERROR($AB4,0))</f>
        <v/>
      </c>
      <c r="Y5" s="27">
        <f>IF($W5="","",IFERROR(SUMIFS($P$2:$P$101,$D$2:$D$101,TEXT($W5,"yyyy-mm"),$I$2:$I$101,"&lt;&gt;Annulé"),0))</f>
        <v/>
      </c>
      <c r="Z5" s="27">
        <f>IF($W5="","",IFERROR(SUMIFS($Q$2:$Q$101,$D$2:$D$101,TEXT($W5,"yyyy-mm"),$I$2:$I$101,"&lt;&gt;Annulé"),0))</f>
        <v/>
      </c>
      <c r="AA5" s="27">
        <f>IF($W5="","",IFERROR($Y5-$Z5,0))</f>
        <v/>
      </c>
      <c r="AB5" s="27">
        <f>IF($W5="","",IFERROR($X5+$AA5,0))</f>
        <v/>
      </c>
      <c r="AC5" s="27">
        <f>IF($W5="","",IFERROR('Paramètres'!$B$11,0))</f>
        <v/>
      </c>
      <c r="AD5" s="27">
        <f>IF($W5="","",IFERROR($AB5-$AC5,0))</f>
        <v/>
      </c>
      <c r="AE5" s="28">
        <f>IF($W5="","",IFERROR(IF($AB5&lt;$AC5,"À surveiller","OK"),"À vérifier"))</f>
        <v/>
      </c>
      <c r="AF5" s="27">
        <f>IF($W5="","",IFERROR(SUMIFS($R$2:$R$101,$D$2:$D$101,TEXT($W5,"yyyy-mm"),$E$2:$E$101,"Encaissement",$I$2:$I$101,"Réalisé"),0))</f>
        <v/>
      </c>
      <c r="AG5" s="27">
        <f>IF($W5="","",IFERROR(SUMIFS($R$2:$R$101,$D$2:$D$101,TEXT($W5,"yyyy-mm"),$E$2:$E$101,"Décaissement",$I$2:$I$101,"Réalisé"),0))</f>
        <v/>
      </c>
    </row>
    <row r="6">
      <c r="A6" s="20" t="inlineStr">
        <is>
          <t>BC-005</t>
        </is>
      </c>
      <c r="B6" s="21" t="n">
        <v>46130</v>
      </c>
      <c r="C6" s="21" t="n">
        <v>46130</v>
      </c>
      <c r="D6" s="22">
        <f>IF(B6="","",IFERROR(TEXT(B6,"yyyy-mm"),""))</f>
        <v/>
      </c>
      <c r="E6" s="20" t="inlineStr">
        <is>
          <t>Décaissement</t>
        </is>
      </c>
      <c r="F6" s="20" t="inlineStr">
        <is>
          <t>Salaires et charges</t>
        </is>
      </c>
      <c r="G6" s="23" t="inlineStr">
        <is>
          <t>Paie aux employés</t>
        </is>
      </c>
      <c r="H6" s="23" t="inlineStr">
        <is>
          <t>Paie du 18 avril</t>
        </is>
      </c>
      <c r="I6" s="20" t="inlineStr">
        <is>
          <t>Réalisé</t>
        </is>
      </c>
      <c r="J6" s="20" t="inlineStr">
        <is>
          <t>Non</t>
        </is>
      </c>
      <c r="K6" s="20" t="inlineStr">
        <is>
          <t>Non</t>
        </is>
      </c>
      <c r="L6" s="24" t="n">
        <v>6250</v>
      </c>
      <c r="M6" s="25">
        <f>IF(L6="","",IFERROR(IF(AND(J6="Oui",'Paramètres'!$B$16="Oui"),L6*'Paramètres'!$B$14,0),0))</f>
        <v/>
      </c>
      <c r="N6" s="25">
        <f>IF(L6="","",IFERROR(IF(AND(K6="Oui",'Paramètres'!$B$16="Oui"),L6*'Paramètres'!$B$15,0),0))</f>
        <v/>
      </c>
      <c r="O6" s="25">
        <f>IF(L6="","",IFERROR(L6+M6+N6,0))</f>
        <v/>
      </c>
      <c r="P6" s="25">
        <f>IF(A6="","",IFERROR(IF(E6="Encaissement",O6,0),0))</f>
        <v/>
      </c>
      <c r="Q6" s="25">
        <f>IF(A6="","",IFERROR(IF(E6="Décaissement",O6,0),0))</f>
        <v/>
      </c>
      <c r="R6" s="24" t="n">
        <v>6250</v>
      </c>
      <c r="S6" s="25">
        <f>IF(R6="","",IFERROR(R6-O6,""))</f>
        <v/>
      </c>
      <c r="T6" s="20" t="inlineStr">
        <is>
          <t>Virement</t>
        </is>
      </c>
      <c r="U6" s="23" t="inlineStr">
        <is>
          <t>Paie régulière</t>
        </is>
      </c>
      <c r="W6" s="26">
        <f>IF('Paramètres'!$B$8="","",IF(DATE(YEAR('Paramètres'!$B$8),MONTH('Paramètres'!$B$8)+2,1)&gt;'Paramètres'!$B$9,"",DATE(YEAR('Paramètres'!$B$8),MONTH('Paramètres'!$B$8)+2,1)))</f>
        <v/>
      </c>
      <c r="X6" s="27">
        <f>IF($W6="","",IFERROR($AB5,0))</f>
        <v/>
      </c>
      <c r="Y6" s="27">
        <f>IF($W6="","",IFERROR(SUMIFS($P$2:$P$101,$D$2:$D$101,TEXT($W6,"yyyy-mm"),$I$2:$I$101,"&lt;&gt;Annulé"),0))</f>
        <v/>
      </c>
      <c r="Z6" s="27">
        <f>IF($W6="","",IFERROR(SUMIFS($Q$2:$Q$101,$D$2:$D$101,TEXT($W6,"yyyy-mm"),$I$2:$I$101,"&lt;&gt;Annulé"),0))</f>
        <v/>
      </c>
      <c r="AA6" s="27">
        <f>IF($W6="","",IFERROR($Y6-$Z6,0))</f>
        <v/>
      </c>
      <c r="AB6" s="27">
        <f>IF($W6="","",IFERROR($X6+$AA6,0))</f>
        <v/>
      </c>
      <c r="AC6" s="27">
        <f>IF($W6="","",IFERROR('Paramètres'!$B$11,0))</f>
        <v/>
      </c>
      <c r="AD6" s="27">
        <f>IF($W6="","",IFERROR($AB6-$AC6,0))</f>
        <v/>
      </c>
      <c r="AE6" s="28">
        <f>IF($W6="","",IFERROR(IF($AB6&lt;$AC6,"À surveiller","OK"),"À vérifier"))</f>
        <v/>
      </c>
      <c r="AF6" s="27">
        <f>IF($W6="","",IFERROR(SUMIFS($R$2:$R$101,$D$2:$D$101,TEXT($W6,"yyyy-mm"),$E$2:$E$101,"Encaissement",$I$2:$I$101,"Réalisé"),0))</f>
        <v/>
      </c>
      <c r="AG6" s="27">
        <f>IF($W6="","",IFERROR(SUMIFS($R$2:$R$101,$D$2:$D$101,TEXT($W6,"yyyy-mm"),$E$2:$E$101,"Décaissement",$I$2:$I$101,"Réalisé"),0))</f>
        <v/>
      </c>
    </row>
    <row r="7">
      <c r="A7" s="20" t="inlineStr">
        <is>
          <t>BC-006</t>
        </is>
      </c>
      <c r="B7" s="21" t="n">
        <v>46147</v>
      </c>
      <c r="C7" s="21" t="n"/>
      <c r="D7" s="22">
        <f>IF(B7="","",IFERROR(TEXT(B7,"yyyy-mm"),""))</f>
        <v/>
      </c>
      <c r="E7" s="20" t="inlineStr">
        <is>
          <t>Décaissement</t>
        </is>
      </c>
      <c r="F7" s="20" t="inlineStr">
        <is>
          <t>Logiciels et abonnements</t>
        </is>
      </c>
      <c r="G7" s="23" t="inlineStr">
        <is>
          <t>Abonnement annuel logiciel</t>
        </is>
      </c>
      <c r="H7" s="23" t="inlineStr">
        <is>
          <t>GestionPro</t>
        </is>
      </c>
      <c r="I7" s="20" t="inlineStr">
        <is>
          <t>Prévu</t>
        </is>
      </c>
      <c r="J7" s="20" t="inlineStr">
        <is>
          <t>Oui</t>
        </is>
      </c>
      <c r="K7" s="20" t="inlineStr">
        <is>
          <t>Oui</t>
        </is>
      </c>
      <c r="L7" s="24" t="n">
        <v>1080</v>
      </c>
      <c r="M7" s="25">
        <f>IF(L7="","",IFERROR(IF(AND(J7="Oui",'Paramètres'!$B$16="Oui"),L7*'Paramètres'!$B$14,0),0))</f>
        <v/>
      </c>
      <c r="N7" s="25">
        <f>IF(L7="","",IFERROR(IF(AND(K7="Oui",'Paramètres'!$B$16="Oui"),L7*'Paramètres'!$B$15,0),0))</f>
        <v/>
      </c>
      <c r="O7" s="25">
        <f>IF(L7="","",IFERROR(L7+M7+N7,0))</f>
        <v/>
      </c>
      <c r="P7" s="25">
        <f>IF(A7="","",IFERROR(IF(E7="Encaissement",O7,0),0))</f>
        <v/>
      </c>
      <c r="Q7" s="25">
        <f>IF(A7="","",IFERROR(IF(E7="Décaissement",O7,0),0))</f>
        <v/>
      </c>
      <c r="R7" s="24" t="n"/>
      <c r="S7" s="25">
        <f>IF(R7="","",IFERROR(R7-O7,""))</f>
        <v/>
      </c>
      <c r="T7" s="20" t="inlineStr">
        <is>
          <t>Carte de crédit</t>
        </is>
      </c>
      <c r="U7" s="23" t="inlineStr">
        <is>
          <t>Renouvellement annuel</t>
        </is>
      </c>
      <c r="W7" s="26">
        <f>IF('Paramètres'!$B$8="","",IF(DATE(YEAR('Paramètres'!$B$8),MONTH('Paramètres'!$B$8)+3,1)&gt;'Paramètres'!$B$9,"",DATE(YEAR('Paramètres'!$B$8),MONTH('Paramètres'!$B$8)+3,1)))</f>
        <v/>
      </c>
      <c r="X7" s="27">
        <f>IF($W7="","",IFERROR($AB6,0))</f>
        <v/>
      </c>
      <c r="Y7" s="27">
        <f>IF($W7="","",IFERROR(SUMIFS($P$2:$P$101,$D$2:$D$101,TEXT($W7,"yyyy-mm"),$I$2:$I$101,"&lt;&gt;Annulé"),0))</f>
        <v/>
      </c>
      <c r="Z7" s="27">
        <f>IF($W7="","",IFERROR(SUMIFS($Q$2:$Q$101,$D$2:$D$101,TEXT($W7,"yyyy-mm"),$I$2:$I$101,"&lt;&gt;Annulé"),0))</f>
        <v/>
      </c>
      <c r="AA7" s="27">
        <f>IF($W7="","",IFERROR($Y7-$Z7,0))</f>
        <v/>
      </c>
      <c r="AB7" s="27">
        <f>IF($W7="","",IFERROR($X7+$AA7,0))</f>
        <v/>
      </c>
      <c r="AC7" s="27">
        <f>IF($W7="","",IFERROR('Paramètres'!$B$11,0))</f>
        <v/>
      </c>
      <c r="AD7" s="27">
        <f>IF($W7="","",IFERROR($AB7-$AC7,0))</f>
        <v/>
      </c>
      <c r="AE7" s="28">
        <f>IF($W7="","",IFERROR(IF($AB7&lt;$AC7,"À surveiller","OK"),"À vérifier"))</f>
        <v/>
      </c>
      <c r="AF7" s="27">
        <f>IF($W7="","",IFERROR(SUMIFS($R$2:$R$101,$D$2:$D$101,TEXT($W7,"yyyy-mm"),$E$2:$E$101,"Encaissement",$I$2:$I$101,"Réalisé"),0))</f>
        <v/>
      </c>
      <c r="AG7" s="27">
        <f>IF($W7="","",IFERROR(SUMIFS($R$2:$R$101,$D$2:$D$101,TEXT($W7,"yyyy-mm"),$E$2:$E$101,"Décaissement",$I$2:$I$101,"Réalisé"),0))</f>
        <v/>
      </c>
    </row>
    <row r="8">
      <c r="A8" s="20" t="inlineStr">
        <is>
          <t>BC-007</t>
        </is>
      </c>
      <c r="B8" s="21" t="n">
        <v>46154</v>
      </c>
      <c r="C8" s="21" t="n"/>
      <c r="D8" s="22">
        <f>IF(B8="","",IFERROR(TEXT(B8,"yyyy-mm"),""))</f>
        <v/>
      </c>
      <c r="E8" s="20" t="inlineStr">
        <is>
          <t>Encaissement</t>
        </is>
      </c>
      <c r="F8" s="20" t="inlineStr">
        <is>
          <t>Ventes</t>
        </is>
      </c>
      <c r="G8" s="23" t="inlineStr">
        <is>
          <t>Facture F-1062</t>
        </is>
      </c>
      <c r="H8" s="23" t="inlineStr">
        <is>
          <t>Boutique des Laurentides</t>
        </is>
      </c>
      <c r="I8" s="20" t="inlineStr">
        <is>
          <t>Prévu</t>
        </is>
      </c>
      <c r="J8" s="20" t="inlineStr">
        <is>
          <t>Oui</t>
        </is>
      </c>
      <c r="K8" s="20" t="inlineStr">
        <is>
          <t>Oui</t>
        </is>
      </c>
      <c r="L8" s="24" t="n">
        <v>5650</v>
      </c>
      <c r="M8" s="25">
        <f>IF(L8="","",IFERROR(IF(AND(J8="Oui",'Paramètres'!$B$16="Oui"),L8*'Paramètres'!$B$14,0),0))</f>
        <v/>
      </c>
      <c r="N8" s="25">
        <f>IF(L8="","",IFERROR(IF(AND(K8="Oui",'Paramètres'!$B$16="Oui"),L8*'Paramètres'!$B$15,0),0))</f>
        <v/>
      </c>
      <c r="O8" s="25">
        <f>IF(L8="","",IFERROR(L8+M8+N8,0))</f>
        <v/>
      </c>
      <c r="P8" s="25">
        <f>IF(A8="","",IFERROR(IF(E8="Encaissement",O8,0),0))</f>
        <v/>
      </c>
      <c r="Q8" s="25">
        <f>IF(A8="","",IFERROR(IF(E8="Décaissement",O8,0),0))</f>
        <v/>
      </c>
      <c r="R8" s="24" t="n"/>
      <c r="S8" s="25">
        <f>IF(R8="","",IFERROR(R8-O8,""))</f>
        <v/>
      </c>
      <c r="T8" s="20" t="inlineStr">
        <is>
          <t>Virement</t>
        </is>
      </c>
      <c r="U8" s="23" t="inlineStr">
        <is>
          <t>Paiement prévu à 30 jours</t>
        </is>
      </c>
      <c r="W8" s="26">
        <f>IF('Paramètres'!$B$8="","",IF(DATE(YEAR('Paramètres'!$B$8),MONTH('Paramètres'!$B$8)+4,1)&gt;'Paramètres'!$B$9,"",DATE(YEAR('Paramètres'!$B$8),MONTH('Paramètres'!$B$8)+4,1)))</f>
        <v/>
      </c>
      <c r="X8" s="27">
        <f>IF($W8="","",IFERROR($AB7,0))</f>
        <v/>
      </c>
      <c r="Y8" s="27">
        <f>IF($W8="","",IFERROR(SUMIFS($P$2:$P$101,$D$2:$D$101,TEXT($W8,"yyyy-mm"),$I$2:$I$101,"&lt;&gt;Annulé"),0))</f>
        <v/>
      </c>
      <c r="Z8" s="27">
        <f>IF($W8="","",IFERROR(SUMIFS($Q$2:$Q$101,$D$2:$D$101,TEXT($W8,"yyyy-mm"),$I$2:$I$101,"&lt;&gt;Annulé"),0))</f>
        <v/>
      </c>
      <c r="AA8" s="27">
        <f>IF($W8="","",IFERROR($Y8-$Z8,0))</f>
        <v/>
      </c>
      <c r="AB8" s="27">
        <f>IF($W8="","",IFERROR($X8+$AA8,0))</f>
        <v/>
      </c>
      <c r="AC8" s="27">
        <f>IF($W8="","",IFERROR('Paramètres'!$B$11,0))</f>
        <v/>
      </c>
      <c r="AD8" s="27">
        <f>IF($W8="","",IFERROR($AB8-$AC8,0))</f>
        <v/>
      </c>
      <c r="AE8" s="28">
        <f>IF($W8="","",IFERROR(IF($AB8&lt;$AC8,"À surveiller","OK"),"À vérifier"))</f>
        <v/>
      </c>
      <c r="AF8" s="27">
        <f>IF($W8="","",IFERROR(SUMIFS($R$2:$R$101,$D$2:$D$101,TEXT($W8,"yyyy-mm"),$E$2:$E$101,"Encaissement",$I$2:$I$101,"Réalisé"),0))</f>
        <v/>
      </c>
      <c r="AG8" s="27">
        <f>IF($W8="","",IFERROR(SUMIFS($R$2:$R$101,$D$2:$D$101,TEXT($W8,"yyyy-mm"),$E$2:$E$101,"Décaissement",$I$2:$I$101,"Réalisé"),0))</f>
        <v/>
      </c>
    </row>
    <row r="9">
      <c r="A9" s="20" t="inlineStr">
        <is>
          <t>BC-008</t>
        </is>
      </c>
      <c r="B9" s="21" t="n">
        <v>46162</v>
      </c>
      <c r="C9" s="21" t="n"/>
      <c r="D9" s="22">
        <f>IF(B9="","",IFERROR(TEXT(B9,"yyyy-mm"),""))</f>
        <v/>
      </c>
      <c r="E9" s="20" t="inlineStr">
        <is>
          <t>Décaissement</t>
        </is>
      </c>
      <c r="F9" s="20" t="inlineStr">
        <is>
          <t>Taxes et remises gouvernementales</t>
        </is>
      </c>
      <c r="G9" s="23" t="inlineStr">
        <is>
          <t>Remise estimée TPS/TVQ</t>
        </is>
      </c>
      <c r="H9" s="23" t="inlineStr">
        <is>
          <t>Remise gouvernementale</t>
        </is>
      </c>
      <c r="I9" s="20" t="inlineStr">
        <is>
          <t>Prévu</t>
        </is>
      </c>
      <c r="J9" s="20" t="inlineStr">
        <is>
          <t>Non</t>
        </is>
      </c>
      <c r="K9" s="20" t="inlineStr">
        <is>
          <t>Non</t>
        </is>
      </c>
      <c r="L9" s="24" t="n">
        <v>2100</v>
      </c>
      <c r="M9" s="25">
        <f>IF(L9="","",IFERROR(IF(AND(J9="Oui",'Paramètres'!$B$16="Oui"),L9*'Paramètres'!$B$14,0),0))</f>
        <v/>
      </c>
      <c r="N9" s="25">
        <f>IF(L9="","",IFERROR(IF(AND(K9="Oui",'Paramètres'!$B$16="Oui"),L9*'Paramètres'!$B$15,0),0))</f>
        <v/>
      </c>
      <c r="O9" s="25">
        <f>IF(L9="","",IFERROR(L9+M9+N9,0))</f>
        <v/>
      </c>
      <c r="P9" s="25">
        <f>IF(A9="","",IFERROR(IF(E9="Encaissement",O9,0),0))</f>
        <v/>
      </c>
      <c r="Q9" s="25">
        <f>IF(A9="","",IFERROR(IF(E9="Décaissement",O9,0),0))</f>
        <v/>
      </c>
      <c r="R9" s="24" t="n"/>
      <c r="S9" s="25">
        <f>IF(R9="","",IFERROR(R9-O9,""))</f>
        <v/>
      </c>
      <c r="T9" s="20" t="inlineStr">
        <is>
          <t>Virement</t>
        </is>
      </c>
      <c r="U9" s="23" t="inlineStr">
        <is>
          <t>Estimation à valider</t>
        </is>
      </c>
      <c r="W9" s="26">
        <f>IF('Paramètres'!$B$8="","",IF(DATE(YEAR('Paramètres'!$B$8),MONTH('Paramètres'!$B$8)+5,1)&gt;'Paramètres'!$B$9,"",DATE(YEAR('Paramètres'!$B$8),MONTH('Paramètres'!$B$8)+5,1)))</f>
        <v/>
      </c>
      <c r="X9" s="27">
        <f>IF($W9="","",IFERROR($AB8,0))</f>
        <v/>
      </c>
      <c r="Y9" s="27">
        <f>IF($W9="","",IFERROR(SUMIFS($P$2:$P$101,$D$2:$D$101,TEXT($W9,"yyyy-mm"),$I$2:$I$101,"&lt;&gt;Annulé"),0))</f>
        <v/>
      </c>
      <c r="Z9" s="27">
        <f>IF($W9="","",IFERROR(SUMIFS($Q$2:$Q$101,$D$2:$D$101,TEXT($W9,"yyyy-mm"),$I$2:$I$101,"&lt;&gt;Annulé"),0))</f>
        <v/>
      </c>
      <c r="AA9" s="27">
        <f>IF($W9="","",IFERROR($Y9-$Z9,0))</f>
        <v/>
      </c>
      <c r="AB9" s="27">
        <f>IF($W9="","",IFERROR($X9+$AA9,0))</f>
        <v/>
      </c>
      <c r="AC9" s="27">
        <f>IF($W9="","",IFERROR('Paramètres'!$B$11,0))</f>
        <v/>
      </c>
      <c r="AD9" s="27">
        <f>IF($W9="","",IFERROR($AB9-$AC9,0))</f>
        <v/>
      </c>
      <c r="AE9" s="28">
        <f>IF($W9="","",IFERROR(IF($AB9&lt;$AC9,"À surveiller","OK"),"À vérifier"))</f>
        <v/>
      </c>
      <c r="AF9" s="27">
        <f>IF($W9="","",IFERROR(SUMIFS($R$2:$R$101,$D$2:$D$101,TEXT($W9,"yyyy-mm"),$E$2:$E$101,"Encaissement",$I$2:$I$101,"Réalisé"),0))</f>
        <v/>
      </c>
      <c r="AG9" s="27">
        <f>IF($W9="","",IFERROR(SUMIFS($R$2:$R$101,$D$2:$D$101,TEXT($W9,"yyyy-mm"),$E$2:$E$101,"Décaissement",$I$2:$I$101,"Réalisé"),0))</f>
        <v/>
      </c>
    </row>
    <row r="10">
      <c r="A10" s="20" t="inlineStr">
        <is>
          <t>BC-009</t>
        </is>
      </c>
      <c r="B10" s="21" t="n">
        <v>46176</v>
      </c>
      <c r="C10" s="21" t="n"/>
      <c r="D10" s="22">
        <f>IF(B10="","",IFERROR(TEXT(B10,"yyyy-mm"),""))</f>
        <v/>
      </c>
      <c r="E10" s="20" t="inlineStr">
        <is>
          <t>Décaissement</t>
        </is>
      </c>
      <c r="F10" s="20" t="inlineStr">
        <is>
          <t>Achat d’immobilisation</t>
        </is>
      </c>
      <c r="G10" s="23" t="inlineStr">
        <is>
          <t>Imprimante professionnelle</t>
        </is>
      </c>
      <c r="H10" s="23" t="inlineStr">
        <is>
          <t>Équipement Buro Québec</t>
        </is>
      </c>
      <c r="I10" s="20" t="inlineStr">
        <is>
          <t>Prévu</t>
        </is>
      </c>
      <c r="J10" s="20" t="inlineStr">
        <is>
          <t>Oui</t>
        </is>
      </c>
      <c r="K10" s="20" t="inlineStr">
        <is>
          <t>Oui</t>
        </is>
      </c>
      <c r="L10" s="24" t="n">
        <v>2900</v>
      </c>
      <c r="M10" s="25">
        <f>IF(L10="","",IFERROR(IF(AND(J10="Oui",'Paramètres'!$B$16="Oui"),L10*'Paramètres'!$B$14,0),0))</f>
        <v/>
      </c>
      <c r="N10" s="25">
        <f>IF(L10="","",IFERROR(IF(AND(K10="Oui",'Paramètres'!$B$16="Oui"),L10*'Paramètres'!$B$15,0),0))</f>
        <v/>
      </c>
      <c r="O10" s="25">
        <f>IF(L10="","",IFERROR(L10+M10+N10,0))</f>
        <v/>
      </c>
      <c r="P10" s="25">
        <f>IF(A10="","",IFERROR(IF(E10="Encaissement",O10,0),0))</f>
        <v/>
      </c>
      <c r="Q10" s="25">
        <f>IF(A10="","",IFERROR(IF(E10="Décaissement",O10,0),0))</f>
        <v/>
      </c>
      <c r="R10" s="24" t="n"/>
      <c r="S10" s="25">
        <f>IF(R10="","",IFERROR(R10-O10,""))</f>
        <v/>
      </c>
      <c r="T10" s="20" t="inlineStr">
        <is>
          <t>Virement</t>
        </is>
      </c>
      <c r="U10" s="23" t="inlineStr">
        <is>
          <t>Achat planifié</t>
        </is>
      </c>
      <c r="W10" s="26">
        <f>IF('Paramètres'!$B$8="","",IF(DATE(YEAR('Paramètres'!$B$8),MONTH('Paramètres'!$B$8)+6,1)&gt;'Paramètres'!$B$9,"",DATE(YEAR('Paramètres'!$B$8),MONTH('Paramètres'!$B$8)+6,1)))</f>
        <v/>
      </c>
      <c r="X10" s="27">
        <f>IF($W10="","",IFERROR($AB9,0))</f>
        <v/>
      </c>
      <c r="Y10" s="27">
        <f>IF($W10="","",IFERROR(SUMIFS($P$2:$P$101,$D$2:$D$101,TEXT($W10,"yyyy-mm"),$I$2:$I$101,"&lt;&gt;Annulé"),0))</f>
        <v/>
      </c>
      <c r="Z10" s="27">
        <f>IF($W10="","",IFERROR(SUMIFS($Q$2:$Q$101,$D$2:$D$101,TEXT($W10,"yyyy-mm"),$I$2:$I$101,"&lt;&gt;Annulé"),0))</f>
        <v/>
      </c>
      <c r="AA10" s="27">
        <f>IF($W10="","",IFERROR($Y10-$Z10,0))</f>
        <v/>
      </c>
      <c r="AB10" s="27">
        <f>IF($W10="","",IFERROR($X10+$AA10,0))</f>
        <v/>
      </c>
      <c r="AC10" s="27">
        <f>IF($W10="","",IFERROR('Paramètres'!$B$11,0))</f>
        <v/>
      </c>
      <c r="AD10" s="27">
        <f>IF($W10="","",IFERROR($AB10-$AC10,0))</f>
        <v/>
      </c>
      <c r="AE10" s="28">
        <f>IF($W10="","",IFERROR(IF($AB10&lt;$AC10,"À surveiller","OK"),"À vérifier"))</f>
        <v/>
      </c>
      <c r="AF10" s="27">
        <f>IF($W10="","",IFERROR(SUMIFS($R$2:$R$101,$D$2:$D$101,TEXT($W10,"yyyy-mm"),$E$2:$E$101,"Encaissement",$I$2:$I$101,"Réalisé"),0))</f>
        <v/>
      </c>
      <c r="AG10" s="27">
        <f>IF($W10="","",IFERROR(SUMIFS($R$2:$R$101,$D$2:$D$101,TEXT($W10,"yyyy-mm"),$E$2:$E$101,"Décaissement",$I$2:$I$101,"Réalisé"),0))</f>
        <v/>
      </c>
    </row>
    <row r="11">
      <c r="A11" s="20" t="inlineStr">
        <is>
          <t>BC-010</t>
        </is>
      </c>
      <c r="B11" s="21" t="n">
        <v>46189</v>
      </c>
      <c r="C11" s="21" t="n"/>
      <c r="D11" s="22">
        <f>IF(B11="","",IFERROR(TEXT(B11,"yyyy-mm"),""))</f>
        <v/>
      </c>
      <c r="E11" s="20" t="inlineStr">
        <is>
          <t>Encaissement</t>
        </is>
      </c>
      <c r="F11" s="20" t="inlineStr">
        <is>
          <t>Subventions</t>
        </is>
      </c>
      <c r="G11" s="23" t="inlineStr">
        <is>
          <t>Versement prévu</t>
        </is>
      </c>
      <c r="H11" s="23" t="inlineStr">
        <is>
          <t>Organisme de soutien aux entreprises</t>
        </is>
      </c>
      <c r="I11" s="20" t="inlineStr">
        <is>
          <t>Prévu</t>
        </is>
      </c>
      <c r="J11" s="20" t="inlineStr">
        <is>
          <t>Non</t>
        </is>
      </c>
      <c r="K11" s="20" t="inlineStr">
        <is>
          <t>Non</t>
        </is>
      </c>
      <c r="L11" s="24" t="n">
        <v>3000</v>
      </c>
      <c r="M11" s="25">
        <f>IF(L11="","",IFERROR(IF(AND(J11="Oui",'Paramètres'!$B$16="Oui"),L11*'Paramètres'!$B$14,0),0))</f>
        <v/>
      </c>
      <c r="N11" s="25">
        <f>IF(L11="","",IFERROR(IF(AND(K11="Oui",'Paramètres'!$B$16="Oui"),L11*'Paramètres'!$B$15,0),0))</f>
        <v/>
      </c>
      <c r="O11" s="25">
        <f>IF(L11="","",IFERROR(L11+M11+N11,0))</f>
        <v/>
      </c>
      <c r="P11" s="25">
        <f>IF(A11="","",IFERROR(IF(E11="Encaissement",O11,0),0))</f>
        <v/>
      </c>
      <c r="Q11" s="25">
        <f>IF(A11="","",IFERROR(IF(E11="Décaissement",O11,0),0))</f>
        <v/>
      </c>
      <c r="R11" s="24" t="n"/>
      <c r="S11" s="25">
        <f>IF(R11="","",IFERROR(R11-O11,""))</f>
        <v/>
      </c>
      <c r="T11" s="20" t="inlineStr">
        <is>
          <t>Virement</t>
        </is>
      </c>
      <c r="U11" s="23" t="inlineStr">
        <is>
          <t>Versement conditionnel</t>
        </is>
      </c>
      <c r="W11" s="26">
        <f>IF('Paramètres'!$B$8="","",IF(DATE(YEAR('Paramètres'!$B$8),MONTH('Paramètres'!$B$8)+7,1)&gt;'Paramètres'!$B$9,"",DATE(YEAR('Paramètres'!$B$8),MONTH('Paramètres'!$B$8)+7,1)))</f>
        <v/>
      </c>
      <c r="X11" s="27">
        <f>IF($W11="","",IFERROR($AB10,0))</f>
        <v/>
      </c>
      <c r="Y11" s="27">
        <f>IF($W11="","",IFERROR(SUMIFS($P$2:$P$101,$D$2:$D$101,TEXT($W11,"yyyy-mm"),$I$2:$I$101,"&lt;&gt;Annulé"),0))</f>
        <v/>
      </c>
      <c r="Z11" s="27">
        <f>IF($W11="","",IFERROR(SUMIFS($Q$2:$Q$101,$D$2:$D$101,TEXT($W11,"yyyy-mm"),$I$2:$I$101,"&lt;&gt;Annulé"),0))</f>
        <v/>
      </c>
      <c r="AA11" s="27">
        <f>IF($W11="","",IFERROR($Y11-$Z11,0))</f>
        <v/>
      </c>
      <c r="AB11" s="27">
        <f>IF($W11="","",IFERROR($X11+$AA11,0))</f>
        <v/>
      </c>
      <c r="AC11" s="27">
        <f>IF($W11="","",IFERROR('Paramètres'!$B$11,0))</f>
        <v/>
      </c>
      <c r="AD11" s="27">
        <f>IF($W11="","",IFERROR($AB11-$AC11,0))</f>
        <v/>
      </c>
      <c r="AE11" s="28">
        <f>IF($W11="","",IFERROR(IF($AB11&lt;$AC11,"À surveiller","OK"),"À vérifier"))</f>
        <v/>
      </c>
      <c r="AF11" s="27">
        <f>IF($W11="","",IFERROR(SUMIFS($R$2:$R$101,$D$2:$D$101,TEXT($W11,"yyyy-mm"),$E$2:$E$101,"Encaissement",$I$2:$I$101,"Réalisé"),0))</f>
        <v/>
      </c>
      <c r="AG11" s="27">
        <f>IF($W11="","",IFERROR(SUMIFS($R$2:$R$101,$D$2:$D$101,TEXT($W11,"yyyy-mm"),$E$2:$E$101,"Décaissement",$I$2:$I$101,"Réalisé"),0))</f>
        <v/>
      </c>
    </row>
    <row r="12">
      <c r="A12" s="20" t="n"/>
      <c r="B12" s="21" t="n"/>
      <c r="C12" s="21" t="n"/>
      <c r="D12" s="22">
        <f>IF(B12="","",IFERROR(TEXT(B12,"yyyy-mm"),""))</f>
        <v/>
      </c>
      <c r="E12" s="20" t="n"/>
      <c r="F12" s="20" t="n"/>
      <c r="G12" s="23" t="n"/>
      <c r="H12" s="23" t="n"/>
      <c r="I12" s="20" t="n"/>
      <c r="J12" s="20" t="n"/>
      <c r="K12" s="20" t="n"/>
      <c r="L12" s="24" t="n"/>
      <c r="M12" s="25">
        <f>IF(L12="","",IFERROR(IF(AND(J12="Oui",'Paramètres'!$B$16="Oui"),L12*'Paramètres'!$B$14,0),0))</f>
        <v/>
      </c>
      <c r="N12" s="25">
        <f>IF(L12="","",IFERROR(IF(AND(K12="Oui",'Paramètres'!$B$16="Oui"),L12*'Paramètres'!$B$15,0),0))</f>
        <v/>
      </c>
      <c r="O12" s="25">
        <f>IF(L12="","",IFERROR(L12+M12+N12,0))</f>
        <v/>
      </c>
      <c r="P12" s="25">
        <f>IF(A12="","",IFERROR(IF(E12="Encaissement",O12,0),0))</f>
        <v/>
      </c>
      <c r="Q12" s="25">
        <f>IF(A12="","",IFERROR(IF(E12="Décaissement",O12,0),0))</f>
        <v/>
      </c>
      <c r="R12" s="24" t="n"/>
      <c r="S12" s="25">
        <f>IF(R12="","",IFERROR(R12-O12,""))</f>
        <v/>
      </c>
      <c r="T12" s="20" t="n"/>
      <c r="U12" s="23" t="n"/>
      <c r="W12" s="26">
        <f>IF('Paramètres'!$B$8="","",IF(DATE(YEAR('Paramètres'!$B$8),MONTH('Paramètres'!$B$8)+8,1)&gt;'Paramètres'!$B$9,"",DATE(YEAR('Paramètres'!$B$8),MONTH('Paramètres'!$B$8)+8,1)))</f>
        <v/>
      </c>
      <c r="X12" s="27">
        <f>IF($W12="","",IFERROR($AB11,0))</f>
        <v/>
      </c>
      <c r="Y12" s="27">
        <f>IF($W12="","",IFERROR(SUMIFS($P$2:$P$101,$D$2:$D$101,TEXT($W12,"yyyy-mm"),$I$2:$I$101,"&lt;&gt;Annulé"),0))</f>
        <v/>
      </c>
      <c r="Z12" s="27">
        <f>IF($W12="","",IFERROR(SUMIFS($Q$2:$Q$101,$D$2:$D$101,TEXT($W12,"yyyy-mm"),$I$2:$I$101,"&lt;&gt;Annulé"),0))</f>
        <v/>
      </c>
      <c r="AA12" s="27">
        <f>IF($W12="","",IFERROR($Y12-$Z12,0))</f>
        <v/>
      </c>
      <c r="AB12" s="27">
        <f>IF($W12="","",IFERROR($X12+$AA12,0))</f>
        <v/>
      </c>
      <c r="AC12" s="27">
        <f>IF($W12="","",IFERROR('Paramètres'!$B$11,0))</f>
        <v/>
      </c>
      <c r="AD12" s="27">
        <f>IF($W12="","",IFERROR($AB12-$AC12,0))</f>
        <v/>
      </c>
      <c r="AE12" s="28">
        <f>IF($W12="","",IFERROR(IF($AB12&lt;$AC12,"À surveiller","OK"),"À vérifier"))</f>
        <v/>
      </c>
      <c r="AF12" s="27">
        <f>IF($W12="","",IFERROR(SUMIFS($R$2:$R$101,$D$2:$D$101,TEXT($W12,"yyyy-mm"),$E$2:$E$101,"Encaissement",$I$2:$I$101,"Réalisé"),0))</f>
        <v/>
      </c>
      <c r="AG12" s="27">
        <f>IF($W12="","",IFERROR(SUMIFS($R$2:$R$101,$D$2:$D$101,TEXT($W12,"yyyy-mm"),$E$2:$E$101,"Décaissement",$I$2:$I$101,"Réalisé"),0))</f>
        <v/>
      </c>
    </row>
    <row r="13">
      <c r="A13" s="20" t="n"/>
      <c r="B13" s="21" t="n"/>
      <c r="C13" s="21" t="n"/>
      <c r="D13" s="22">
        <f>IF(B13="","",IFERROR(TEXT(B13,"yyyy-mm"),""))</f>
        <v/>
      </c>
      <c r="E13" s="20" t="n"/>
      <c r="F13" s="20" t="n"/>
      <c r="G13" s="23" t="n"/>
      <c r="H13" s="23" t="n"/>
      <c r="I13" s="20" t="n"/>
      <c r="J13" s="20" t="n"/>
      <c r="K13" s="20" t="n"/>
      <c r="L13" s="24" t="n"/>
      <c r="M13" s="25">
        <f>IF(L13="","",IFERROR(IF(AND(J13="Oui",'Paramètres'!$B$16="Oui"),L13*'Paramètres'!$B$14,0),0))</f>
        <v/>
      </c>
      <c r="N13" s="25">
        <f>IF(L13="","",IFERROR(IF(AND(K13="Oui",'Paramètres'!$B$16="Oui"),L13*'Paramètres'!$B$15,0),0))</f>
        <v/>
      </c>
      <c r="O13" s="25">
        <f>IF(L13="","",IFERROR(L13+M13+N13,0))</f>
        <v/>
      </c>
      <c r="P13" s="25">
        <f>IF(A13="","",IFERROR(IF(E13="Encaissement",O13,0),0))</f>
        <v/>
      </c>
      <c r="Q13" s="25">
        <f>IF(A13="","",IFERROR(IF(E13="Décaissement",O13,0),0))</f>
        <v/>
      </c>
      <c r="R13" s="24" t="n"/>
      <c r="S13" s="25">
        <f>IF(R13="","",IFERROR(R13-O13,""))</f>
        <v/>
      </c>
      <c r="T13" s="20" t="n"/>
      <c r="U13" s="23" t="n"/>
      <c r="W13" s="26">
        <f>IF('Paramètres'!$B$8="","",IF(DATE(YEAR('Paramètres'!$B$8),MONTH('Paramètres'!$B$8)+9,1)&gt;'Paramètres'!$B$9,"",DATE(YEAR('Paramètres'!$B$8),MONTH('Paramètres'!$B$8)+9,1)))</f>
        <v/>
      </c>
      <c r="X13" s="27">
        <f>IF($W13="","",IFERROR($AB12,0))</f>
        <v/>
      </c>
      <c r="Y13" s="27">
        <f>IF($W13="","",IFERROR(SUMIFS($P$2:$P$101,$D$2:$D$101,TEXT($W13,"yyyy-mm"),$I$2:$I$101,"&lt;&gt;Annulé"),0))</f>
        <v/>
      </c>
      <c r="Z13" s="27">
        <f>IF($W13="","",IFERROR(SUMIFS($Q$2:$Q$101,$D$2:$D$101,TEXT($W13,"yyyy-mm"),$I$2:$I$101,"&lt;&gt;Annulé"),0))</f>
        <v/>
      </c>
      <c r="AA13" s="27">
        <f>IF($W13="","",IFERROR($Y13-$Z13,0))</f>
        <v/>
      </c>
      <c r="AB13" s="27">
        <f>IF($W13="","",IFERROR($X13+$AA13,0))</f>
        <v/>
      </c>
      <c r="AC13" s="27">
        <f>IF($W13="","",IFERROR('Paramètres'!$B$11,0))</f>
        <v/>
      </c>
      <c r="AD13" s="27">
        <f>IF($W13="","",IFERROR($AB13-$AC13,0))</f>
        <v/>
      </c>
      <c r="AE13" s="28">
        <f>IF($W13="","",IFERROR(IF($AB13&lt;$AC13,"À surveiller","OK"),"À vérifier"))</f>
        <v/>
      </c>
      <c r="AF13" s="27">
        <f>IF($W13="","",IFERROR(SUMIFS($R$2:$R$101,$D$2:$D$101,TEXT($W13,"yyyy-mm"),$E$2:$E$101,"Encaissement",$I$2:$I$101,"Réalisé"),0))</f>
        <v/>
      </c>
      <c r="AG13" s="27">
        <f>IF($W13="","",IFERROR(SUMIFS($R$2:$R$101,$D$2:$D$101,TEXT($W13,"yyyy-mm"),$E$2:$E$101,"Décaissement",$I$2:$I$101,"Réalisé"),0))</f>
        <v/>
      </c>
    </row>
    <row r="14">
      <c r="A14" s="20" t="n"/>
      <c r="B14" s="21" t="n"/>
      <c r="C14" s="21" t="n"/>
      <c r="D14" s="22">
        <f>IF(B14="","",IFERROR(TEXT(B14,"yyyy-mm"),""))</f>
        <v/>
      </c>
      <c r="E14" s="20" t="n"/>
      <c r="F14" s="20" t="n"/>
      <c r="G14" s="23" t="n"/>
      <c r="H14" s="23" t="n"/>
      <c r="I14" s="20" t="n"/>
      <c r="J14" s="20" t="n"/>
      <c r="K14" s="20" t="n"/>
      <c r="L14" s="24" t="n"/>
      <c r="M14" s="25">
        <f>IF(L14="","",IFERROR(IF(AND(J14="Oui",'Paramètres'!$B$16="Oui"),L14*'Paramètres'!$B$14,0),0))</f>
        <v/>
      </c>
      <c r="N14" s="25">
        <f>IF(L14="","",IFERROR(IF(AND(K14="Oui",'Paramètres'!$B$16="Oui"),L14*'Paramètres'!$B$15,0),0))</f>
        <v/>
      </c>
      <c r="O14" s="25">
        <f>IF(L14="","",IFERROR(L14+M14+N14,0))</f>
        <v/>
      </c>
      <c r="P14" s="25">
        <f>IF(A14="","",IFERROR(IF(E14="Encaissement",O14,0),0))</f>
        <v/>
      </c>
      <c r="Q14" s="25">
        <f>IF(A14="","",IFERROR(IF(E14="Décaissement",O14,0),0))</f>
        <v/>
      </c>
      <c r="R14" s="24" t="n"/>
      <c r="S14" s="25">
        <f>IF(R14="","",IFERROR(R14-O14,""))</f>
        <v/>
      </c>
      <c r="T14" s="20" t="n"/>
      <c r="U14" s="23" t="n"/>
      <c r="W14" s="26">
        <f>IF('Paramètres'!$B$8="","",IF(DATE(YEAR('Paramètres'!$B$8),MONTH('Paramètres'!$B$8)+10,1)&gt;'Paramètres'!$B$9,"",DATE(YEAR('Paramètres'!$B$8),MONTH('Paramètres'!$B$8)+10,1)))</f>
        <v/>
      </c>
      <c r="X14" s="27">
        <f>IF($W14="","",IFERROR($AB13,0))</f>
        <v/>
      </c>
      <c r="Y14" s="27">
        <f>IF($W14="","",IFERROR(SUMIFS($P$2:$P$101,$D$2:$D$101,TEXT($W14,"yyyy-mm"),$I$2:$I$101,"&lt;&gt;Annulé"),0))</f>
        <v/>
      </c>
      <c r="Z14" s="27">
        <f>IF($W14="","",IFERROR(SUMIFS($Q$2:$Q$101,$D$2:$D$101,TEXT($W14,"yyyy-mm"),$I$2:$I$101,"&lt;&gt;Annulé"),0))</f>
        <v/>
      </c>
      <c r="AA14" s="27">
        <f>IF($W14="","",IFERROR($Y14-$Z14,0))</f>
        <v/>
      </c>
      <c r="AB14" s="27">
        <f>IF($W14="","",IFERROR($X14+$AA14,0))</f>
        <v/>
      </c>
      <c r="AC14" s="27">
        <f>IF($W14="","",IFERROR('Paramètres'!$B$11,0))</f>
        <v/>
      </c>
      <c r="AD14" s="27">
        <f>IF($W14="","",IFERROR($AB14-$AC14,0))</f>
        <v/>
      </c>
      <c r="AE14" s="28">
        <f>IF($W14="","",IFERROR(IF($AB14&lt;$AC14,"À surveiller","OK"),"À vérifier"))</f>
        <v/>
      </c>
      <c r="AF14" s="27">
        <f>IF($W14="","",IFERROR(SUMIFS($R$2:$R$101,$D$2:$D$101,TEXT($W14,"yyyy-mm"),$E$2:$E$101,"Encaissement",$I$2:$I$101,"Réalisé"),0))</f>
        <v/>
      </c>
      <c r="AG14" s="27">
        <f>IF($W14="","",IFERROR(SUMIFS($R$2:$R$101,$D$2:$D$101,TEXT($W14,"yyyy-mm"),$E$2:$E$101,"Décaissement",$I$2:$I$101,"Réalisé"),0))</f>
        <v/>
      </c>
    </row>
    <row r="15">
      <c r="A15" s="20" t="n"/>
      <c r="B15" s="21" t="n"/>
      <c r="C15" s="21" t="n"/>
      <c r="D15" s="22">
        <f>IF(B15="","",IFERROR(TEXT(B15,"yyyy-mm"),""))</f>
        <v/>
      </c>
      <c r="E15" s="20" t="n"/>
      <c r="F15" s="20" t="n"/>
      <c r="G15" s="23" t="n"/>
      <c r="H15" s="23" t="n"/>
      <c r="I15" s="20" t="n"/>
      <c r="J15" s="20" t="n"/>
      <c r="K15" s="20" t="n"/>
      <c r="L15" s="24" t="n"/>
      <c r="M15" s="25">
        <f>IF(L15="","",IFERROR(IF(AND(J15="Oui",'Paramètres'!$B$16="Oui"),L15*'Paramètres'!$B$14,0),0))</f>
        <v/>
      </c>
      <c r="N15" s="25">
        <f>IF(L15="","",IFERROR(IF(AND(K15="Oui",'Paramètres'!$B$16="Oui"),L15*'Paramètres'!$B$15,0),0))</f>
        <v/>
      </c>
      <c r="O15" s="25">
        <f>IF(L15="","",IFERROR(L15+M15+N15,0))</f>
        <v/>
      </c>
      <c r="P15" s="25">
        <f>IF(A15="","",IFERROR(IF(E15="Encaissement",O15,0),0))</f>
        <v/>
      </c>
      <c r="Q15" s="25">
        <f>IF(A15="","",IFERROR(IF(E15="Décaissement",O15,0),0))</f>
        <v/>
      </c>
      <c r="R15" s="24" t="n"/>
      <c r="S15" s="25">
        <f>IF(R15="","",IFERROR(R15-O15,""))</f>
        <v/>
      </c>
      <c r="T15" s="20" t="n"/>
      <c r="U15" s="23" t="n"/>
      <c r="W15" s="26">
        <f>IF('Paramètres'!$B$8="","",IF(DATE(YEAR('Paramètres'!$B$8),MONTH('Paramètres'!$B$8)+11,1)&gt;'Paramètres'!$B$9,"",DATE(YEAR('Paramètres'!$B$8),MONTH('Paramètres'!$B$8)+11,1)))</f>
        <v/>
      </c>
      <c r="X15" s="27">
        <f>IF($W15="","",IFERROR($AB14,0))</f>
        <v/>
      </c>
      <c r="Y15" s="27">
        <f>IF($W15="","",IFERROR(SUMIFS($P$2:$P$101,$D$2:$D$101,TEXT($W15,"yyyy-mm"),$I$2:$I$101,"&lt;&gt;Annulé"),0))</f>
        <v/>
      </c>
      <c r="Z15" s="27">
        <f>IF($W15="","",IFERROR(SUMIFS($Q$2:$Q$101,$D$2:$D$101,TEXT($W15,"yyyy-mm"),$I$2:$I$101,"&lt;&gt;Annulé"),0))</f>
        <v/>
      </c>
      <c r="AA15" s="27">
        <f>IF($W15="","",IFERROR($Y15-$Z15,0))</f>
        <v/>
      </c>
      <c r="AB15" s="27">
        <f>IF($W15="","",IFERROR($X15+$AA15,0))</f>
        <v/>
      </c>
      <c r="AC15" s="27">
        <f>IF($W15="","",IFERROR('Paramètres'!$B$11,0))</f>
        <v/>
      </c>
      <c r="AD15" s="27">
        <f>IF($W15="","",IFERROR($AB15-$AC15,0))</f>
        <v/>
      </c>
      <c r="AE15" s="28">
        <f>IF($W15="","",IFERROR(IF($AB15&lt;$AC15,"À surveiller","OK"),"À vérifier"))</f>
        <v/>
      </c>
      <c r="AF15" s="27">
        <f>IF($W15="","",IFERROR(SUMIFS($R$2:$R$101,$D$2:$D$101,TEXT($W15,"yyyy-mm"),$E$2:$E$101,"Encaissement",$I$2:$I$101,"Réalisé"),0))</f>
        <v/>
      </c>
      <c r="AG15" s="27">
        <f>IF($W15="","",IFERROR(SUMIFS($R$2:$R$101,$D$2:$D$101,TEXT($W15,"yyyy-mm"),$E$2:$E$101,"Décaissement",$I$2:$I$101,"Réalisé"),0))</f>
        <v/>
      </c>
    </row>
    <row r="16">
      <c r="A16" s="20" t="n"/>
      <c r="B16" s="21" t="n"/>
      <c r="C16" s="21" t="n"/>
      <c r="D16" s="22">
        <f>IF(B16="","",IFERROR(TEXT(B16,"yyyy-mm"),""))</f>
        <v/>
      </c>
      <c r="E16" s="20" t="n"/>
      <c r="F16" s="20" t="n"/>
      <c r="G16" s="23" t="n"/>
      <c r="H16" s="23" t="n"/>
      <c r="I16" s="20" t="n"/>
      <c r="J16" s="20" t="n"/>
      <c r="K16" s="20" t="n"/>
      <c r="L16" s="24" t="n"/>
      <c r="M16" s="25">
        <f>IF(L16="","",IFERROR(IF(AND(J16="Oui",'Paramètres'!$B$16="Oui"),L16*'Paramètres'!$B$14,0),0))</f>
        <v/>
      </c>
      <c r="N16" s="25">
        <f>IF(L16="","",IFERROR(IF(AND(K16="Oui",'Paramètres'!$B$16="Oui"),L16*'Paramètres'!$B$15,0),0))</f>
        <v/>
      </c>
      <c r="O16" s="25">
        <f>IF(L16="","",IFERROR(L16+M16+N16,0))</f>
        <v/>
      </c>
      <c r="P16" s="25">
        <f>IF(A16="","",IFERROR(IF(E16="Encaissement",O16,0),0))</f>
        <v/>
      </c>
      <c r="Q16" s="25">
        <f>IF(A16="","",IFERROR(IF(E16="Décaissement",O16,0),0))</f>
        <v/>
      </c>
      <c r="R16" s="24" t="n"/>
      <c r="S16" s="25">
        <f>IF(R16="","",IFERROR(R16-O16,""))</f>
        <v/>
      </c>
      <c r="T16" s="20" t="n"/>
      <c r="U16" s="23" t="n"/>
      <c r="W16" s="26">
        <f>IF('Paramètres'!$B$8="","",IF(DATE(YEAR('Paramètres'!$B$8),MONTH('Paramètres'!$B$8)+12,1)&gt;'Paramètres'!$B$9,"",DATE(YEAR('Paramètres'!$B$8),MONTH('Paramètres'!$B$8)+12,1)))</f>
        <v/>
      </c>
      <c r="X16" s="27">
        <f>IF($W16="","",IFERROR($AB15,0))</f>
        <v/>
      </c>
      <c r="Y16" s="27">
        <f>IF($W16="","",IFERROR(SUMIFS($P$2:$P$101,$D$2:$D$101,TEXT($W16,"yyyy-mm"),$I$2:$I$101,"&lt;&gt;Annulé"),0))</f>
        <v/>
      </c>
      <c r="Z16" s="27">
        <f>IF($W16="","",IFERROR(SUMIFS($Q$2:$Q$101,$D$2:$D$101,TEXT($W16,"yyyy-mm"),$I$2:$I$101,"&lt;&gt;Annulé"),0))</f>
        <v/>
      </c>
      <c r="AA16" s="27">
        <f>IF($W16="","",IFERROR($Y16-$Z16,0))</f>
        <v/>
      </c>
      <c r="AB16" s="27">
        <f>IF($W16="","",IFERROR($X16+$AA16,0))</f>
        <v/>
      </c>
      <c r="AC16" s="27">
        <f>IF($W16="","",IFERROR('Paramètres'!$B$11,0))</f>
        <v/>
      </c>
      <c r="AD16" s="27">
        <f>IF($W16="","",IFERROR($AB16-$AC16,0))</f>
        <v/>
      </c>
      <c r="AE16" s="28">
        <f>IF($W16="","",IFERROR(IF($AB16&lt;$AC16,"À surveiller","OK"),"À vérifier"))</f>
        <v/>
      </c>
      <c r="AF16" s="27">
        <f>IF($W16="","",IFERROR(SUMIFS($R$2:$R$101,$D$2:$D$101,TEXT($W16,"yyyy-mm"),$E$2:$E$101,"Encaissement",$I$2:$I$101,"Réalisé"),0))</f>
        <v/>
      </c>
      <c r="AG16" s="27">
        <f>IF($W16="","",IFERROR(SUMIFS($R$2:$R$101,$D$2:$D$101,TEXT($W16,"yyyy-mm"),$E$2:$E$101,"Décaissement",$I$2:$I$101,"Réalisé"),0))</f>
        <v/>
      </c>
    </row>
    <row r="17">
      <c r="A17" s="20" t="n"/>
      <c r="B17" s="21" t="n"/>
      <c r="C17" s="21" t="n"/>
      <c r="D17" s="22">
        <f>IF(B17="","",IFERROR(TEXT(B17,"yyyy-mm"),""))</f>
        <v/>
      </c>
      <c r="E17" s="20" t="n"/>
      <c r="F17" s="20" t="n"/>
      <c r="G17" s="23" t="n"/>
      <c r="H17" s="23" t="n"/>
      <c r="I17" s="20" t="n"/>
      <c r="J17" s="20" t="n"/>
      <c r="K17" s="20" t="n"/>
      <c r="L17" s="24" t="n"/>
      <c r="M17" s="25">
        <f>IF(L17="","",IFERROR(IF(AND(J17="Oui",'Paramètres'!$B$16="Oui"),L17*'Paramètres'!$B$14,0),0))</f>
        <v/>
      </c>
      <c r="N17" s="25">
        <f>IF(L17="","",IFERROR(IF(AND(K17="Oui",'Paramètres'!$B$16="Oui"),L17*'Paramètres'!$B$15,0),0))</f>
        <v/>
      </c>
      <c r="O17" s="25">
        <f>IF(L17="","",IFERROR(L17+M17+N17,0))</f>
        <v/>
      </c>
      <c r="P17" s="25">
        <f>IF(A17="","",IFERROR(IF(E17="Encaissement",O17,0),0))</f>
        <v/>
      </c>
      <c r="Q17" s="25">
        <f>IF(A17="","",IFERROR(IF(E17="Décaissement",O17,0),0))</f>
        <v/>
      </c>
      <c r="R17" s="24" t="n"/>
      <c r="S17" s="25">
        <f>IF(R17="","",IFERROR(R17-O17,""))</f>
        <v/>
      </c>
      <c r="T17" s="20" t="n"/>
      <c r="U17" s="23" t="n"/>
      <c r="W17" s="26">
        <f>IF('Paramètres'!$B$8="","",IF(DATE(YEAR('Paramètres'!$B$8),MONTH('Paramètres'!$B$8)+13,1)&gt;'Paramètres'!$B$9,"",DATE(YEAR('Paramètres'!$B$8),MONTH('Paramètres'!$B$8)+13,1)))</f>
        <v/>
      </c>
      <c r="X17" s="27">
        <f>IF($W17="","",IFERROR($AB16,0))</f>
        <v/>
      </c>
      <c r="Y17" s="27">
        <f>IF($W17="","",IFERROR(SUMIFS($P$2:$P$101,$D$2:$D$101,TEXT($W17,"yyyy-mm"),$I$2:$I$101,"&lt;&gt;Annulé"),0))</f>
        <v/>
      </c>
      <c r="Z17" s="27">
        <f>IF($W17="","",IFERROR(SUMIFS($Q$2:$Q$101,$D$2:$D$101,TEXT($W17,"yyyy-mm"),$I$2:$I$101,"&lt;&gt;Annulé"),0))</f>
        <v/>
      </c>
      <c r="AA17" s="27">
        <f>IF($W17="","",IFERROR($Y17-$Z17,0))</f>
        <v/>
      </c>
      <c r="AB17" s="27">
        <f>IF($W17="","",IFERROR($X17+$AA17,0))</f>
        <v/>
      </c>
      <c r="AC17" s="27">
        <f>IF($W17="","",IFERROR('Paramètres'!$B$11,0))</f>
        <v/>
      </c>
      <c r="AD17" s="27">
        <f>IF($W17="","",IFERROR($AB17-$AC17,0))</f>
        <v/>
      </c>
      <c r="AE17" s="28">
        <f>IF($W17="","",IFERROR(IF($AB17&lt;$AC17,"À surveiller","OK"),"À vérifier"))</f>
        <v/>
      </c>
      <c r="AF17" s="27">
        <f>IF($W17="","",IFERROR(SUMIFS($R$2:$R$101,$D$2:$D$101,TEXT($W17,"yyyy-mm"),$E$2:$E$101,"Encaissement",$I$2:$I$101,"Réalisé"),0))</f>
        <v/>
      </c>
      <c r="AG17" s="27">
        <f>IF($W17="","",IFERROR(SUMIFS($R$2:$R$101,$D$2:$D$101,TEXT($W17,"yyyy-mm"),$E$2:$E$101,"Décaissement",$I$2:$I$101,"Réalisé"),0))</f>
        <v/>
      </c>
    </row>
    <row r="18">
      <c r="A18" s="20" t="n"/>
      <c r="B18" s="21" t="n"/>
      <c r="C18" s="21" t="n"/>
      <c r="D18" s="22">
        <f>IF(B18="","",IFERROR(TEXT(B18,"yyyy-mm"),""))</f>
        <v/>
      </c>
      <c r="E18" s="20" t="n"/>
      <c r="F18" s="20" t="n"/>
      <c r="G18" s="23" t="n"/>
      <c r="H18" s="23" t="n"/>
      <c r="I18" s="20" t="n"/>
      <c r="J18" s="20" t="n"/>
      <c r="K18" s="20" t="n"/>
      <c r="L18" s="24" t="n"/>
      <c r="M18" s="25">
        <f>IF(L18="","",IFERROR(IF(AND(J18="Oui",'Paramètres'!$B$16="Oui"),L18*'Paramètres'!$B$14,0),0))</f>
        <v/>
      </c>
      <c r="N18" s="25">
        <f>IF(L18="","",IFERROR(IF(AND(K18="Oui",'Paramètres'!$B$16="Oui"),L18*'Paramètres'!$B$15,0),0))</f>
        <v/>
      </c>
      <c r="O18" s="25">
        <f>IF(L18="","",IFERROR(L18+M18+N18,0))</f>
        <v/>
      </c>
      <c r="P18" s="25">
        <f>IF(A18="","",IFERROR(IF(E18="Encaissement",O18,0),0))</f>
        <v/>
      </c>
      <c r="Q18" s="25">
        <f>IF(A18="","",IFERROR(IF(E18="Décaissement",O18,0),0))</f>
        <v/>
      </c>
      <c r="R18" s="24" t="n"/>
      <c r="S18" s="25">
        <f>IF(R18="","",IFERROR(R18-O18,""))</f>
        <v/>
      </c>
      <c r="T18" s="20" t="n"/>
      <c r="U18" s="23" t="n"/>
      <c r="W18" s="26">
        <f>IF('Paramètres'!$B$8="","",IF(DATE(YEAR('Paramètres'!$B$8),MONTH('Paramètres'!$B$8)+14,1)&gt;'Paramètres'!$B$9,"",DATE(YEAR('Paramètres'!$B$8),MONTH('Paramètres'!$B$8)+14,1)))</f>
        <v/>
      </c>
      <c r="X18" s="27">
        <f>IF($W18="","",IFERROR($AB17,0))</f>
        <v/>
      </c>
      <c r="Y18" s="27">
        <f>IF($W18="","",IFERROR(SUMIFS($P$2:$P$101,$D$2:$D$101,TEXT($W18,"yyyy-mm"),$I$2:$I$101,"&lt;&gt;Annulé"),0))</f>
        <v/>
      </c>
      <c r="Z18" s="27">
        <f>IF($W18="","",IFERROR(SUMIFS($Q$2:$Q$101,$D$2:$D$101,TEXT($W18,"yyyy-mm"),$I$2:$I$101,"&lt;&gt;Annulé"),0))</f>
        <v/>
      </c>
      <c r="AA18" s="27">
        <f>IF($W18="","",IFERROR($Y18-$Z18,0))</f>
        <v/>
      </c>
      <c r="AB18" s="27">
        <f>IF($W18="","",IFERROR($X18+$AA18,0))</f>
        <v/>
      </c>
      <c r="AC18" s="27">
        <f>IF($W18="","",IFERROR('Paramètres'!$B$11,0))</f>
        <v/>
      </c>
      <c r="AD18" s="27">
        <f>IF($W18="","",IFERROR($AB18-$AC18,0))</f>
        <v/>
      </c>
      <c r="AE18" s="28">
        <f>IF($W18="","",IFERROR(IF($AB18&lt;$AC18,"À surveiller","OK"),"À vérifier"))</f>
        <v/>
      </c>
      <c r="AF18" s="27">
        <f>IF($W18="","",IFERROR(SUMIFS($R$2:$R$101,$D$2:$D$101,TEXT($W18,"yyyy-mm"),$E$2:$E$101,"Encaissement",$I$2:$I$101,"Réalisé"),0))</f>
        <v/>
      </c>
      <c r="AG18" s="27">
        <f>IF($W18="","",IFERROR(SUMIFS($R$2:$R$101,$D$2:$D$101,TEXT($W18,"yyyy-mm"),$E$2:$E$101,"Décaissement",$I$2:$I$101,"Réalisé"),0))</f>
        <v/>
      </c>
    </row>
    <row r="19">
      <c r="A19" s="20" t="n"/>
      <c r="B19" s="21" t="n"/>
      <c r="C19" s="21" t="n"/>
      <c r="D19" s="22">
        <f>IF(B19="","",IFERROR(TEXT(B19,"yyyy-mm"),""))</f>
        <v/>
      </c>
      <c r="E19" s="20" t="n"/>
      <c r="F19" s="20" t="n"/>
      <c r="G19" s="23" t="n"/>
      <c r="H19" s="23" t="n"/>
      <c r="I19" s="20" t="n"/>
      <c r="J19" s="20" t="n"/>
      <c r="K19" s="20" t="n"/>
      <c r="L19" s="24" t="n"/>
      <c r="M19" s="25">
        <f>IF(L19="","",IFERROR(IF(AND(J19="Oui",'Paramètres'!$B$16="Oui"),L19*'Paramètres'!$B$14,0),0))</f>
        <v/>
      </c>
      <c r="N19" s="25">
        <f>IF(L19="","",IFERROR(IF(AND(K19="Oui",'Paramètres'!$B$16="Oui"),L19*'Paramètres'!$B$15,0),0))</f>
        <v/>
      </c>
      <c r="O19" s="25">
        <f>IF(L19="","",IFERROR(L19+M19+N19,0))</f>
        <v/>
      </c>
      <c r="P19" s="25">
        <f>IF(A19="","",IFERROR(IF(E19="Encaissement",O19,0),0))</f>
        <v/>
      </c>
      <c r="Q19" s="25">
        <f>IF(A19="","",IFERROR(IF(E19="Décaissement",O19,0),0))</f>
        <v/>
      </c>
      <c r="R19" s="24" t="n"/>
      <c r="S19" s="25">
        <f>IF(R19="","",IFERROR(R19-O19,""))</f>
        <v/>
      </c>
      <c r="T19" s="20" t="n"/>
      <c r="U19" s="23" t="n"/>
      <c r="W19" s="26">
        <f>IF('Paramètres'!$B$8="","",IF(DATE(YEAR('Paramètres'!$B$8),MONTH('Paramètres'!$B$8)+15,1)&gt;'Paramètres'!$B$9,"",DATE(YEAR('Paramètres'!$B$8),MONTH('Paramètres'!$B$8)+15,1)))</f>
        <v/>
      </c>
      <c r="X19" s="27">
        <f>IF($W19="","",IFERROR($AB18,0))</f>
        <v/>
      </c>
      <c r="Y19" s="27">
        <f>IF($W19="","",IFERROR(SUMIFS($P$2:$P$101,$D$2:$D$101,TEXT($W19,"yyyy-mm"),$I$2:$I$101,"&lt;&gt;Annulé"),0))</f>
        <v/>
      </c>
      <c r="Z19" s="27">
        <f>IF($W19="","",IFERROR(SUMIFS($Q$2:$Q$101,$D$2:$D$101,TEXT($W19,"yyyy-mm"),$I$2:$I$101,"&lt;&gt;Annulé"),0))</f>
        <v/>
      </c>
      <c r="AA19" s="27">
        <f>IF($W19="","",IFERROR($Y19-$Z19,0))</f>
        <v/>
      </c>
      <c r="AB19" s="27">
        <f>IF($W19="","",IFERROR($X19+$AA19,0))</f>
        <v/>
      </c>
      <c r="AC19" s="27">
        <f>IF($W19="","",IFERROR('Paramètres'!$B$11,0))</f>
        <v/>
      </c>
      <c r="AD19" s="27">
        <f>IF($W19="","",IFERROR($AB19-$AC19,0))</f>
        <v/>
      </c>
      <c r="AE19" s="28">
        <f>IF($W19="","",IFERROR(IF($AB19&lt;$AC19,"À surveiller","OK"),"À vérifier"))</f>
        <v/>
      </c>
      <c r="AF19" s="27">
        <f>IF($W19="","",IFERROR(SUMIFS($R$2:$R$101,$D$2:$D$101,TEXT($W19,"yyyy-mm"),$E$2:$E$101,"Encaissement",$I$2:$I$101,"Réalisé"),0))</f>
        <v/>
      </c>
      <c r="AG19" s="27">
        <f>IF($W19="","",IFERROR(SUMIFS($R$2:$R$101,$D$2:$D$101,TEXT($W19,"yyyy-mm"),$E$2:$E$101,"Décaissement",$I$2:$I$101,"Réalisé"),0))</f>
        <v/>
      </c>
    </row>
    <row r="20">
      <c r="A20" s="20" t="n"/>
      <c r="B20" s="21" t="n"/>
      <c r="C20" s="21" t="n"/>
      <c r="D20" s="22">
        <f>IF(B20="","",IFERROR(TEXT(B20,"yyyy-mm"),""))</f>
        <v/>
      </c>
      <c r="E20" s="20" t="n"/>
      <c r="F20" s="20" t="n"/>
      <c r="G20" s="23" t="n"/>
      <c r="H20" s="23" t="n"/>
      <c r="I20" s="20" t="n"/>
      <c r="J20" s="20" t="n"/>
      <c r="K20" s="20" t="n"/>
      <c r="L20" s="24" t="n"/>
      <c r="M20" s="25">
        <f>IF(L20="","",IFERROR(IF(AND(J20="Oui",'Paramètres'!$B$16="Oui"),L20*'Paramètres'!$B$14,0),0))</f>
        <v/>
      </c>
      <c r="N20" s="25">
        <f>IF(L20="","",IFERROR(IF(AND(K20="Oui",'Paramètres'!$B$16="Oui"),L20*'Paramètres'!$B$15,0),0))</f>
        <v/>
      </c>
      <c r="O20" s="25">
        <f>IF(L20="","",IFERROR(L20+M20+N20,0))</f>
        <v/>
      </c>
      <c r="P20" s="25">
        <f>IF(A20="","",IFERROR(IF(E20="Encaissement",O20,0),0))</f>
        <v/>
      </c>
      <c r="Q20" s="25">
        <f>IF(A20="","",IFERROR(IF(E20="Décaissement",O20,0),0))</f>
        <v/>
      </c>
      <c r="R20" s="24" t="n"/>
      <c r="S20" s="25">
        <f>IF(R20="","",IFERROR(R20-O20,""))</f>
        <v/>
      </c>
      <c r="T20" s="20" t="n"/>
      <c r="U20" s="23" t="n"/>
      <c r="W20" s="26">
        <f>IF('Paramètres'!$B$8="","",IF(DATE(YEAR('Paramètres'!$B$8),MONTH('Paramètres'!$B$8)+16,1)&gt;'Paramètres'!$B$9,"",DATE(YEAR('Paramètres'!$B$8),MONTH('Paramètres'!$B$8)+16,1)))</f>
        <v/>
      </c>
      <c r="X20" s="27">
        <f>IF($W20="","",IFERROR($AB19,0))</f>
        <v/>
      </c>
      <c r="Y20" s="27">
        <f>IF($W20="","",IFERROR(SUMIFS($P$2:$P$101,$D$2:$D$101,TEXT($W20,"yyyy-mm"),$I$2:$I$101,"&lt;&gt;Annulé"),0))</f>
        <v/>
      </c>
      <c r="Z20" s="27">
        <f>IF($W20="","",IFERROR(SUMIFS($Q$2:$Q$101,$D$2:$D$101,TEXT($W20,"yyyy-mm"),$I$2:$I$101,"&lt;&gt;Annulé"),0))</f>
        <v/>
      </c>
      <c r="AA20" s="27">
        <f>IF($W20="","",IFERROR($Y20-$Z20,0))</f>
        <v/>
      </c>
      <c r="AB20" s="27">
        <f>IF($W20="","",IFERROR($X20+$AA20,0))</f>
        <v/>
      </c>
      <c r="AC20" s="27">
        <f>IF($W20="","",IFERROR('Paramètres'!$B$11,0))</f>
        <v/>
      </c>
      <c r="AD20" s="27">
        <f>IF($W20="","",IFERROR($AB20-$AC20,0))</f>
        <v/>
      </c>
      <c r="AE20" s="28">
        <f>IF($W20="","",IFERROR(IF($AB20&lt;$AC20,"À surveiller","OK"),"À vérifier"))</f>
        <v/>
      </c>
      <c r="AF20" s="27">
        <f>IF($W20="","",IFERROR(SUMIFS($R$2:$R$101,$D$2:$D$101,TEXT($W20,"yyyy-mm"),$E$2:$E$101,"Encaissement",$I$2:$I$101,"Réalisé"),0))</f>
        <v/>
      </c>
      <c r="AG20" s="27">
        <f>IF($W20="","",IFERROR(SUMIFS($R$2:$R$101,$D$2:$D$101,TEXT($W20,"yyyy-mm"),$E$2:$E$101,"Décaissement",$I$2:$I$101,"Réalisé"),0))</f>
        <v/>
      </c>
    </row>
    <row r="21">
      <c r="A21" s="20" t="n"/>
      <c r="B21" s="21" t="n"/>
      <c r="C21" s="21" t="n"/>
      <c r="D21" s="22">
        <f>IF(B21="","",IFERROR(TEXT(B21,"yyyy-mm"),""))</f>
        <v/>
      </c>
      <c r="E21" s="20" t="n"/>
      <c r="F21" s="20" t="n"/>
      <c r="G21" s="23" t="n"/>
      <c r="H21" s="23" t="n"/>
      <c r="I21" s="20" t="n"/>
      <c r="J21" s="20" t="n"/>
      <c r="K21" s="20" t="n"/>
      <c r="L21" s="24" t="n"/>
      <c r="M21" s="25">
        <f>IF(L21="","",IFERROR(IF(AND(J21="Oui",'Paramètres'!$B$16="Oui"),L21*'Paramètres'!$B$14,0),0))</f>
        <v/>
      </c>
      <c r="N21" s="25">
        <f>IF(L21="","",IFERROR(IF(AND(K21="Oui",'Paramètres'!$B$16="Oui"),L21*'Paramètres'!$B$15,0),0))</f>
        <v/>
      </c>
      <c r="O21" s="25">
        <f>IF(L21="","",IFERROR(L21+M21+N21,0))</f>
        <v/>
      </c>
      <c r="P21" s="25">
        <f>IF(A21="","",IFERROR(IF(E21="Encaissement",O21,0),0))</f>
        <v/>
      </c>
      <c r="Q21" s="25">
        <f>IF(A21="","",IFERROR(IF(E21="Décaissement",O21,0),0))</f>
        <v/>
      </c>
      <c r="R21" s="24" t="n"/>
      <c r="S21" s="25">
        <f>IF(R21="","",IFERROR(R21-O21,""))</f>
        <v/>
      </c>
      <c r="T21" s="20" t="n"/>
      <c r="U21" s="23" t="n"/>
      <c r="W21" s="26">
        <f>IF('Paramètres'!$B$8="","",IF(DATE(YEAR('Paramètres'!$B$8),MONTH('Paramètres'!$B$8)+17,1)&gt;'Paramètres'!$B$9,"",DATE(YEAR('Paramètres'!$B$8),MONTH('Paramètres'!$B$8)+17,1)))</f>
        <v/>
      </c>
      <c r="X21" s="27">
        <f>IF($W21="","",IFERROR($AB20,0))</f>
        <v/>
      </c>
      <c r="Y21" s="27">
        <f>IF($W21="","",IFERROR(SUMIFS($P$2:$P$101,$D$2:$D$101,TEXT($W21,"yyyy-mm"),$I$2:$I$101,"&lt;&gt;Annulé"),0))</f>
        <v/>
      </c>
      <c r="Z21" s="27">
        <f>IF($W21="","",IFERROR(SUMIFS($Q$2:$Q$101,$D$2:$D$101,TEXT($W21,"yyyy-mm"),$I$2:$I$101,"&lt;&gt;Annulé"),0))</f>
        <v/>
      </c>
      <c r="AA21" s="27">
        <f>IF($W21="","",IFERROR($Y21-$Z21,0))</f>
        <v/>
      </c>
      <c r="AB21" s="27">
        <f>IF($W21="","",IFERROR($X21+$AA21,0))</f>
        <v/>
      </c>
      <c r="AC21" s="27">
        <f>IF($W21="","",IFERROR('Paramètres'!$B$11,0))</f>
        <v/>
      </c>
      <c r="AD21" s="27">
        <f>IF($W21="","",IFERROR($AB21-$AC21,0))</f>
        <v/>
      </c>
      <c r="AE21" s="28">
        <f>IF($W21="","",IFERROR(IF($AB21&lt;$AC21,"À surveiller","OK"),"À vérifier"))</f>
        <v/>
      </c>
      <c r="AF21" s="27">
        <f>IF($W21="","",IFERROR(SUMIFS($R$2:$R$101,$D$2:$D$101,TEXT($W21,"yyyy-mm"),$E$2:$E$101,"Encaissement",$I$2:$I$101,"Réalisé"),0))</f>
        <v/>
      </c>
      <c r="AG21" s="27">
        <f>IF($W21="","",IFERROR(SUMIFS($R$2:$R$101,$D$2:$D$101,TEXT($W21,"yyyy-mm"),$E$2:$E$101,"Décaissement",$I$2:$I$101,"Réalisé"),0))</f>
        <v/>
      </c>
    </row>
    <row r="22">
      <c r="A22" s="20" t="n"/>
      <c r="B22" s="21" t="n"/>
      <c r="C22" s="21" t="n"/>
      <c r="D22" s="22">
        <f>IF(B22="","",IFERROR(TEXT(B22,"yyyy-mm"),""))</f>
        <v/>
      </c>
      <c r="E22" s="20" t="n"/>
      <c r="F22" s="20" t="n"/>
      <c r="G22" s="23" t="n"/>
      <c r="H22" s="23" t="n"/>
      <c r="I22" s="20" t="n"/>
      <c r="J22" s="20" t="n"/>
      <c r="K22" s="20" t="n"/>
      <c r="L22" s="24" t="n"/>
      <c r="M22" s="25">
        <f>IF(L22="","",IFERROR(IF(AND(J22="Oui",'Paramètres'!$B$16="Oui"),L22*'Paramètres'!$B$14,0),0))</f>
        <v/>
      </c>
      <c r="N22" s="25">
        <f>IF(L22="","",IFERROR(IF(AND(K22="Oui",'Paramètres'!$B$16="Oui"),L22*'Paramètres'!$B$15,0),0))</f>
        <v/>
      </c>
      <c r="O22" s="25">
        <f>IF(L22="","",IFERROR(L22+M22+N22,0))</f>
        <v/>
      </c>
      <c r="P22" s="25">
        <f>IF(A22="","",IFERROR(IF(E22="Encaissement",O22,0),0))</f>
        <v/>
      </c>
      <c r="Q22" s="25">
        <f>IF(A22="","",IFERROR(IF(E22="Décaissement",O22,0),0))</f>
        <v/>
      </c>
      <c r="R22" s="24" t="n"/>
      <c r="S22" s="25">
        <f>IF(R22="","",IFERROR(R22-O22,""))</f>
        <v/>
      </c>
      <c r="T22" s="20" t="n"/>
      <c r="U22" s="23" t="n"/>
      <c r="W22" s="26">
        <f>IF('Paramètres'!$B$8="","",IF(DATE(YEAR('Paramètres'!$B$8),MONTH('Paramètres'!$B$8)+18,1)&gt;'Paramètres'!$B$9,"",DATE(YEAR('Paramètres'!$B$8),MONTH('Paramètres'!$B$8)+18,1)))</f>
        <v/>
      </c>
      <c r="X22" s="27">
        <f>IF($W22="","",IFERROR($AB21,0))</f>
        <v/>
      </c>
      <c r="Y22" s="27">
        <f>IF($W22="","",IFERROR(SUMIFS($P$2:$P$101,$D$2:$D$101,TEXT($W22,"yyyy-mm"),$I$2:$I$101,"&lt;&gt;Annulé"),0))</f>
        <v/>
      </c>
      <c r="Z22" s="27">
        <f>IF($W22="","",IFERROR(SUMIFS($Q$2:$Q$101,$D$2:$D$101,TEXT($W22,"yyyy-mm"),$I$2:$I$101,"&lt;&gt;Annulé"),0))</f>
        <v/>
      </c>
      <c r="AA22" s="27">
        <f>IF($W22="","",IFERROR($Y22-$Z22,0))</f>
        <v/>
      </c>
      <c r="AB22" s="27">
        <f>IF($W22="","",IFERROR($X22+$AA22,0))</f>
        <v/>
      </c>
      <c r="AC22" s="27">
        <f>IF($W22="","",IFERROR('Paramètres'!$B$11,0))</f>
        <v/>
      </c>
      <c r="AD22" s="27">
        <f>IF($W22="","",IFERROR($AB22-$AC22,0))</f>
        <v/>
      </c>
      <c r="AE22" s="28">
        <f>IF($W22="","",IFERROR(IF($AB22&lt;$AC22,"À surveiller","OK"),"À vérifier"))</f>
        <v/>
      </c>
      <c r="AF22" s="27">
        <f>IF($W22="","",IFERROR(SUMIFS($R$2:$R$101,$D$2:$D$101,TEXT($W22,"yyyy-mm"),$E$2:$E$101,"Encaissement",$I$2:$I$101,"Réalisé"),0))</f>
        <v/>
      </c>
      <c r="AG22" s="27">
        <f>IF($W22="","",IFERROR(SUMIFS($R$2:$R$101,$D$2:$D$101,TEXT($W22,"yyyy-mm"),$E$2:$E$101,"Décaissement",$I$2:$I$101,"Réalisé"),0))</f>
        <v/>
      </c>
    </row>
    <row r="23">
      <c r="A23" s="20" t="n"/>
      <c r="B23" s="21" t="n"/>
      <c r="C23" s="21" t="n"/>
      <c r="D23" s="22">
        <f>IF(B23="","",IFERROR(TEXT(B23,"yyyy-mm"),""))</f>
        <v/>
      </c>
      <c r="E23" s="20" t="n"/>
      <c r="F23" s="20" t="n"/>
      <c r="G23" s="23" t="n"/>
      <c r="H23" s="23" t="n"/>
      <c r="I23" s="20" t="n"/>
      <c r="J23" s="20" t="n"/>
      <c r="K23" s="20" t="n"/>
      <c r="L23" s="24" t="n"/>
      <c r="M23" s="25">
        <f>IF(L23="","",IFERROR(IF(AND(J23="Oui",'Paramètres'!$B$16="Oui"),L23*'Paramètres'!$B$14,0),0))</f>
        <v/>
      </c>
      <c r="N23" s="25">
        <f>IF(L23="","",IFERROR(IF(AND(K23="Oui",'Paramètres'!$B$16="Oui"),L23*'Paramètres'!$B$15,0),0))</f>
        <v/>
      </c>
      <c r="O23" s="25">
        <f>IF(L23="","",IFERROR(L23+M23+N23,0))</f>
        <v/>
      </c>
      <c r="P23" s="25">
        <f>IF(A23="","",IFERROR(IF(E23="Encaissement",O23,0),0))</f>
        <v/>
      </c>
      <c r="Q23" s="25">
        <f>IF(A23="","",IFERROR(IF(E23="Décaissement",O23,0),0))</f>
        <v/>
      </c>
      <c r="R23" s="24" t="n"/>
      <c r="S23" s="25">
        <f>IF(R23="","",IFERROR(R23-O23,""))</f>
        <v/>
      </c>
      <c r="T23" s="20" t="n"/>
      <c r="U23" s="23" t="n"/>
      <c r="W23" s="26">
        <f>IF('Paramètres'!$B$8="","",IF(DATE(YEAR('Paramètres'!$B$8),MONTH('Paramètres'!$B$8)+19,1)&gt;'Paramètres'!$B$9,"",DATE(YEAR('Paramètres'!$B$8),MONTH('Paramètres'!$B$8)+19,1)))</f>
        <v/>
      </c>
      <c r="X23" s="27">
        <f>IF($W23="","",IFERROR($AB22,0))</f>
        <v/>
      </c>
      <c r="Y23" s="27">
        <f>IF($W23="","",IFERROR(SUMIFS($P$2:$P$101,$D$2:$D$101,TEXT($W23,"yyyy-mm"),$I$2:$I$101,"&lt;&gt;Annulé"),0))</f>
        <v/>
      </c>
      <c r="Z23" s="27">
        <f>IF($W23="","",IFERROR(SUMIFS($Q$2:$Q$101,$D$2:$D$101,TEXT($W23,"yyyy-mm"),$I$2:$I$101,"&lt;&gt;Annulé"),0))</f>
        <v/>
      </c>
      <c r="AA23" s="27">
        <f>IF($W23="","",IFERROR($Y23-$Z23,0))</f>
        <v/>
      </c>
      <c r="AB23" s="27">
        <f>IF($W23="","",IFERROR($X23+$AA23,0))</f>
        <v/>
      </c>
      <c r="AC23" s="27">
        <f>IF($W23="","",IFERROR('Paramètres'!$B$11,0))</f>
        <v/>
      </c>
      <c r="AD23" s="27">
        <f>IF($W23="","",IFERROR($AB23-$AC23,0))</f>
        <v/>
      </c>
      <c r="AE23" s="28">
        <f>IF($W23="","",IFERROR(IF($AB23&lt;$AC23,"À surveiller","OK"),"À vérifier"))</f>
        <v/>
      </c>
      <c r="AF23" s="27">
        <f>IF($W23="","",IFERROR(SUMIFS($R$2:$R$101,$D$2:$D$101,TEXT($W23,"yyyy-mm"),$E$2:$E$101,"Encaissement",$I$2:$I$101,"Réalisé"),0))</f>
        <v/>
      </c>
      <c r="AG23" s="27">
        <f>IF($W23="","",IFERROR(SUMIFS($R$2:$R$101,$D$2:$D$101,TEXT($W23,"yyyy-mm"),$E$2:$E$101,"Décaissement",$I$2:$I$101,"Réalisé"),0))</f>
        <v/>
      </c>
    </row>
    <row r="24">
      <c r="A24" s="20" t="n"/>
      <c r="B24" s="21" t="n"/>
      <c r="C24" s="21" t="n"/>
      <c r="D24" s="22">
        <f>IF(B24="","",IFERROR(TEXT(B24,"yyyy-mm"),""))</f>
        <v/>
      </c>
      <c r="E24" s="20" t="n"/>
      <c r="F24" s="20" t="n"/>
      <c r="G24" s="23" t="n"/>
      <c r="H24" s="23" t="n"/>
      <c r="I24" s="20" t="n"/>
      <c r="J24" s="20" t="n"/>
      <c r="K24" s="20" t="n"/>
      <c r="L24" s="24" t="n"/>
      <c r="M24" s="25">
        <f>IF(L24="","",IFERROR(IF(AND(J24="Oui",'Paramètres'!$B$16="Oui"),L24*'Paramètres'!$B$14,0),0))</f>
        <v/>
      </c>
      <c r="N24" s="25">
        <f>IF(L24="","",IFERROR(IF(AND(K24="Oui",'Paramètres'!$B$16="Oui"),L24*'Paramètres'!$B$15,0),0))</f>
        <v/>
      </c>
      <c r="O24" s="25">
        <f>IF(L24="","",IFERROR(L24+M24+N24,0))</f>
        <v/>
      </c>
      <c r="P24" s="25">
        <f>IF(A24="","",IFERROR(IF(E24="Encaissement",O24,0),0))</f>
        <v/>
      </c>
      <c r="Q24" s="25">
        <f>IF(A24="","",IFERROR(IF(E24="Décaissement",O24,0),0))</f>
        <v/>
      </c>
      <c r="R24" s="24" t="n"/>
      <c r="S24" s="25">
        <f>IF(R24="","",IFERROR(R24-O24,""))</f>
        <v/>
      </c>
      <c r="T24" s="20" t="n"/>
      <c r="U24" s="23" t="n"/>
      <c r="W24" s="26">
        <f>IF('Paramètres'!$B$8="","",IF(DATE(YEAR('Paramètres'!$B$8),MONTH('Paramètres'!$B$8)+20,1)&gt;'Paramètres'!$B$9,"",DATE(YEAR('Paramètres'!$B$8),MONTH('Paramètres'!$B$8)+20,1)))</f>
        <v/>
      </c>
      <c r="X24" s="27">
        <f>IF($W24="","",IFERROR($AB23,0))</f>
        <v/>
      </c>
      <c r="Y24" s="27">
        <f>IF($W24="","",IFERROR(SUMIFS($P$2:$P$101,$D$2:$D$101,TEXT($W24,"yyyy-mm"),$I$2:$I$101,"&lt;&gt;Annulé"),0))</f>
        <v/>
      </c>
      <c r="Z24" s="27">
        <f>IF($W24="","",IFERROR(SUMIFS($Q$2:$Q$101,$D$2:$D$101,TEXT($W24,"yyyy-mm"),$I$2:$I$101,"&lt;&gt;Annulé"),0))</f>
        <v/>
      </c>
      <c r="AA24" s="27">
        <f>IF($W24="","",IFERROR($Y24-$Z24,0))</f>
        <v/>
      </c>
      <c r="AB24" s="27">
        <f>IF($W24="","",IFERROR($X24+$AA24,0))</f>
        <v/>
      </c>
      <c r="AC24" s="27">
        <f>IF($W24="","",IFERROR('Paramètres'!$B$11,0))</f>
        <v/>
      </c>
      <c r="AD24" s="27">
        <f>IF($W24="","",IFERROR($AB24-$AC24,0))</f>
        <v/>
      </c>
      <c r="AE24" s="28">
        <f>IF($W24="","",IFERROR(IF($AB24&lt;$AC24,"À surveiller","OK"),"À vérifier"))</f>
        <v/>
      </c>
      <c r="AF24" s="27">
        <f>IF($W24="","",IFERROR(SUMIFS($R$2:$R$101,$D$2:$D$101,TEXT($W24,"yyyy-mm"),$E$2:$E$101,"Encaissement",$I$2:$I$101,"Réalisé"),0))</f>
        <v/>
      </c>
      <c r="AG24" s="27">
        <f>IF($W24="","",IFERROR(SUMIFS($R$2:$R$101,$D$2:$D$101,TEXT($W24,"yyyy-mm"),$E$2:$E$101,"Décaissement",$I$2:$I$101,"Réalisé"),0))</f>
        <v/>
      </c>
    </row>
    <row r="25">
      <c r="A25" s="20" t="n"/>
      <c r="B25" s="21" t="n"/>
      <c r="C25" s="21" t="n"/>
      <c r="D25" s="22">
        <f>IF(B25="","",IFERROR(TEXT(B25,"yyyy-mm"),""))</f>
        <v/>
      </c>
      <c r="E25" s="20" t="n"/>
      <c r="F25" s="20" t="n"/>
      <c r="G25" s="23" t="n"/>
      <c r="H25" s="23" t="n"/>
      <c r="I25" s="20" t="n"/>
      <c r="J25" s="20" t="n"/>
      <c r="K25" s="20" t="n"/>
      <c r="L25" s="24" t="n"/>
      <c r="M25" s="25">
        <f>IF(L25="","",IFERROR(IF(AND(J25="Oui",'Paramètres'!$B$16="Oui"),L25*'Paramètres'!$B$14,0),0))</f>
        <v/>
      </c>
      <c r="N25" s="25">
        <f>IF(L25="","",IFERROR(IF(AND(K25="Oui",'Paramètres'!$B$16="Oui"),L25*'Paramètres'!$B$15,0),0))</f>
        <v/>
      </c>
      <c r="O25" s="25">
        <f>IF(L25="","",IFERROR(L25+M25+N25,0))</f>
        <v/>
      </c>
      <c r="P25" s="25">
        <f>IF(A25="","",IFERROR(IF(E25="Encaissement",O25,0),0))</f>
        <v/>
      </c>
      <c r="Q25" s="25">
        <f>IF(A25="","",IFERROR(IF(E25="Décaissement",O25,0),0))</f>
        <v/>
      </c>
      <c r="R25" s="24" t="n"/>
      <c r="S25" s="25">
        <f>IF(R25="","",IFERROR(R25-O25,""))</f>
        <v/>
      </c>
      <c r="T25" s="20" t="n"/>
      <c r="U25" s="23" t="n"/>
      <c r="W25" s="26">
        <f>IF('Paramètres'!$B$8="","",IF(DATE(YEAR('Paramètres'!$B$8),MONTH('Paramètres'!$B$8)+21,1)&gt;'Paramètres'!$B$9,"",DATE(YEAR('Paramètres'!$B$8),MONTH('Paramètres'!$B$8)+21,1)))</f>
        <v/>
      </c>
      <c r="X25" s="27">
        <f>IF($W25="","",IFERROR($AB24,0))</f>
        <v/>
      </c>
      <c r="Y25" s="27">
        <f>IF($W25="","",IFERROR(SUMIFS($P$2:$P$101,$D$2:$D$101,TEXT($W25,"yyyy-mm"),$I$2:$I$101,"&lt;&gt;Annulé"),0))</f>
        <v/>
      </c>
      <c r="Z25" s="27">
        <f>IF($W25="","",IFERROR(SUMIFS($Q$2:$Q$101,$D$2:$D$101,TEXT($W25,"yyyy-mm"),$I$2:$I$101,"&lt;&gt;Annulé"),0))</f>
        <v/>
      </c>
      <c r="AA25" s="27">
        <f>IF($W25="","",IFERROR($Y25-$Z25,0))</f>
        <v/>
      </c>
      <c r="AB25" s="27">
        <f>IF($W25="","",IFERROR($X25+$AA25,0))</f>
        <v/>
      </c>
      <c r="AC25" s="27">
        <f>IF($W25="","",IFERROR('Paramètres'!$B$11,0))</f>
        <v/>
      </c>
      <c r="AD25" s="27">
        <f>IF($W25="","",IFERROR($AB25-$AC25,0))</f>
        <v/>
      </c>
      <c r="AE25" s="28">
        <f>IF($W25="","",IFERROR(IF($AB25&lt;$AC25,"À surveiller","OK"),"À vérifier"))</f>
        <v/>
      </c>
      <c r="AF25" s="27">
        <f>IF($W25="","",IFERROR(SUMIFS($R$2:$R$101,$D$2:$D$101,TEXT($W25,"yyyy-mm"),$E$2:$E$101,"Encaissement",$I$2:$I$101,"Réalisé"),0))</f>
        <v/>
      </c>
      <c r="AG25" s="27">
        <f>IF($W25="","",IFERROR(SUMIFS($R$2:$R$101,$D$2:$D$101,TEXT($W25,"yyyy-mm"),$E$2:$E$101,"Décaissement",$I$2:$I$101,"Réalisé"),0))</f>
        <v/>
      </c>
    </row>
    <row r="26">
      <c r="A26" s="20" t="n"/>
      <c r="B26" s="21" t="n"/>
      <c r="C26" s="21" t="n"/>
      <c r="D26" s="22">
        <f>IF(B26="","",IFERROR(TEXT(B26,"yyyy-mm"),""))</f>
        <v/>
      </c>
      <c r="E26" s="20" t="n"/>
      <c r="F26" s="20" t="n"/>
      <c r="G26" s="23" t="n"/>
      <c r="H26" s="23" t="n"/>
      <c r="I26" s="20" t="n"/>
      <c r="J26" s="20" t="n"/>
      <c r="K26" s="20" t="n"/>
      <c r="L26" s="24" t="n"/>
      <c r="M26" s="25">
        <f>IF(L26="","",IFERROR(IF(AND(J26="Oui",'Paramètres'!$B$16="Oui"),L26*'Paramètres'!$B$14,0),0))</f>
        <v/>
      </c>
      <c r="N26" s="25">
        <f>IF(L26="","",IFERROR(IF(AND(K26="Oui",'Paramètres'!$B$16="Oui"),L26*'Paramètres'!$B$15,0),0))</f>
        <v/>
      </c>
      <c r="O26" s="25">
        <f>IF(L26="","",IFERROR(L26+M26+N26,0))</f>
        <v/>
      </c>
      <c r="P26" s="25">
        <f>IF(A26="","",IFERROR(IF(E26="Encaissement",O26,0),0))</f>
        <v/>
      </c>
      <c r="Q26" s="25">
        <f>IF(A26="","",IFERROR(IF(E26="Décaissement",O26,0),0))</f>
        <v/>
      </c>
      <c r="R26" s="24" t="n"/>
      <c r="S26" s="25">
        <f>IF(R26="","",IFERROR(R26-O26,""))</f>
        <v/>
      </c>
      <c r="T26" s="20" t="n"/>
      <c r="U26" s="23" t="n"/>
      <c r="W26" s="26">
        <f>IF('Paramètres'!$B$8="","",IF(DATE(YEAR('Paramètres'!$B$8),MONTH('Paramètres'!$B$8)+22,1)&gt;'Paramètres'!$B$9,"",DATE(YEAR('Paramètres'!$B$8),MONTH('Paramètres'!$B$8)+22,1)))</f>
        <v/>
      </c>
      <c r="X26" s="27">
        <f>IF($W26="","",IFERROR($AB25,0))</f>
        <v/>
      </c>
      <c r="Y26" s="27">
        <f>IF($W26="","",IFERROR(SUMIFS($P$2:$P$101,$D$2:$D$101,TEXT($W26,"yyyy-mm"),$I$2:$I$101,"&lt;&gt;Annulé"),0))</f>
        <v/>
      </c>
      <c r="Z26" s="27">
        <f>IF($W26="","",IFERROR(SUMIFS($Q$2:$Q$101,$D$2:$D$101,TEXT($W26,"yyyy-mm"),$I$2:$I$101,"&lt;&gt;Annulé"),0))</f>
        <v/>
      </c>
      <c r="AA26" s="27">
        <f>IF($W26="","",IFERROR($Y26-$Z26,0))</f>
        <v/>
      </c>
      <c r="AB26" s="27">
        <f>IF($W26="","",IFERROR($X26+$AA26,0))</f>
        <v/>
      </c>
      <c r="AC26" s="27">
        <f>IF($W26="","",IFERROR('Paramètres'!$B$11,0))</f>
        <v/>
      </c>
      <c r="AD26" s="27">
        <f>IF($W26="","",IFERROR($AB26-$AC26,0))</f>
        <v/>
      </c>
      <c r="AE26" s="28">
        <f>IF($W26="","",IFERROR(IF($AB26&lt;$AC26,"À surveiller","OK"),"À vérifier"))</f>
        <v/>
      </c>
      <c r="AF26" s="27">
        <f>IF($W26="","",IFERROR(SUMIFS($R$2:$R$101,$D$2:$D$101,TEXT($W26,"yyyy-mm"),$E$2:$E$101,"Encaissement",$I$2:$I$101,"Réalisé"),0))</f>
        <v/>
      </c>
      <c r="AG26" s="27">
        <f>IF($W26="","",IFERROR(SUMIFS($R$2:$R$101,$D$2:$D$101,TEXT($W26,"yyyy-mm"),$E$2:$E$101,"Décaissement",$I$2:$I$101,"Réalisé"),0))</f>
        <v/>
      </c>
    </row>
    <row r="27">
      <c r="A27" s="20" t="n"/>
      <c r="B27" s="21" t="n"/>
      <c r="C27" s="21" t="n"/>
      <c r="D27" s="22">
        <f>IF(B27="","",IFERROR(TEXT(B27,"yyyy-mm"),""))</f>
        <v/>
      </c>
      <c r="E27" s="20" t="n"/>
      <c r="F27" s="20" t="n"/>
      <c r="G27" s="23" t="n"/>
      <c r="H27" s="23" t="n"/>
      <c r="I27" s="20" t="n"/>
      <c r="J27" s="20" t="n"/>
      <c r="K27" s="20" t="n"/>
      <c r="L27" s="24" t="n"/>
      <c r="M27" s="25">
        <f>IF(L27="","",IFERROR(IF(AND(J27="Oui",'Paramètres'!$B$16="Oui"),L27*'Paramètres'!$B$14,0),0))</f>
        <v/>
      </c>
      <c r="N27" s="25">
        <f>IF(L27="","",IFERROR(IF(AND(K27="Oui",'Paramètres'!$B$16="Oui"),L27*'Paramètres'!$B$15,0),0))</f>
        <v/>
      </c>
      <c r="O27" s="25">
        <f>IF(L27="","",IFERROR(L27+M27+N27,0))</f>
        <v/>
      </c>
      <c r="P27" s="25">
        <f>IF(A27="","",IFERROR(IF(E27="Encaissement",O27,0),0))</f>
        <v/>
      </c>
      <c r="Q27" s="25">
        <f>IF(A27="","",IFERROR(IF(E27="Décaissement",O27,0),0))</f>
        <v/>
      </c>
      <c r="R27" s="24" t="n"/>
      <c r="S27" s="25">
        <f>IF(R27="","",IFERROR(R27-O27,""))</f>
        <v/>
      </c>
      <c r="T27" s="20" t="n"/>
      <c r="U27" s="23" t="n"/>
      <c r="W27" s="26">
        <f>IF('Paramètres'!$B$8="","",IF(DATE(YEAR('Paramètres'!$B$8),MONTH('Paramètres'!$B$8)+23,1)&gt;'Paramètres'!$B$9,"",DATE(YEAR('Paramètres'!$B$8),MONTH('Paramètres'!$B$8)+23,1)))</f>
        <v/>
      </c>
      <c r="X27" s="27">
        <f>IF($W27="","",IFERROR($AB26,0))</f>
        <v/>
      </c>
      <c r="Y27" s="27">
        <f>IF($W27="","",IFERROR(SUMIFS($P$2:$P$101,$D$2:$D$101,TEXT($W27,"yyyy-mm"),$I$2:$I$101,"&lt;&gt;Annulé"),0))</f>
        <v/>
      </c>
      <c r="Z27" s="27">
        <f>IF($W27="","",IFERROR(SUMIFS($Q$2:$Q$101,$D$2:$D$101,TEXT($W27,"yyyy-mm"),$I$2:$I$101,"&lt;&gt;Annulé"),0))</f>
        <v/>
      </c>
      <c r="AA27" s="27">
        <f>IF($W27="","",IFERROR($Y27-$Z27,0))</f>
        <v/>
      </c>
      <c r="AB27" s="27">
        <f>IF($W27="","",IFERROR($X27+$AA27,0))</f>
        <v/>
      </c>
      <c r="AC27" s="27">
        <f>IF($W27="","",IFERROR('Paramètres'!$B$11,0))</f>
        <v/>
      </c>
      <c r="AD27" s="27">
        <f>IF($W27="","",IFERROR($AB27-$AC27,0))</f>
        <v/>
      </c>
      <c r="AE27" s="28">
        <f>IF($W27="","",IFERROR(IF($AB27&lt;$AC27,"À surveiller","OK"),"À vérifier"))</f>
        <v/>
      </c>
      <c r="AF27" s="27">
        <f>IF($W27="","",IFERROR(SUMIFS($R$2:$R$101,$D$2:$D$101,TEXT($W27,"yyyy-mm"),$E$2:$E$101,"Encaissement",$I$2:$I$101,"Réalisé"),0))</f>
        <v/>
      </c>
      <c r="AG27" s="27">
        <f>IF($W27="","",IFERROR(SUMIFS($R$2:$R$101,$D$2:$D$101,TEXT($W27,"yyyy-mm"),$E$2:$E$101,"Décaissement",$I$2:$I$101,"Réalisé"),0))</f>
        <v/>
      </c>
    </row>
    <row r="28">
      <c r="A28" s="20" t="n"/>
      <c r="B28" s="21" t="n"/>
      <c r="C28" s="21" t="n"/>
      <c r="D28" s="22">
        <f>IF(B28="","",IFERROR(TEXT(B28,"yyyy-mm"),""))</f>
        <v/>
      </c>
      <c r="E28" s="20" t="n"/>
      <c r="F28" s="20" t="n"/>
      <c r="G28" s="23" t="n"/>
      <c r="H28" s="23" t="n"/>
      <c r="I28" s="20" t="n"/>
      <c r="J28" s="20" t="n"/>
      <c r="K28" s="20" t="n"/>
      <c r="L28" s="24" t="n"/>
      <c r="M28" s="25">
        <f>IF(L28="","",IFERROR(IF(AND(J28="Oui",'Paramètres'!$B$16="Oui"),L28*'Paramètres'!$B$14,0),0))</f>
        <v/>
      </c>
      <c r="N28" s="25">
        <f>IF(L28="","",IFERROR(IF(AND(K28="Oui",'Paramètres'!$B$16="Oui"),L28*'Paramètres'!$B$15,0),0))</f>
        <v/>
      </c>
      <c r="O28" s="25">
        <f>IF(L28="","",IFERROR(L28+M28+N28,0))</f>
        <v/>
      </c>
      <c r="P28" s="25">
        <f>IF(A28="","",IFERROR(IF(E28="Encaissement",O28,0),0))</f>
        <v/>
      </c>
      <c r="Q28" s="25">
        <f>IF(A28="","",IFERROR(IF(E28="Décaissement",O28,0),0))</f>
        <v/>
      </c>
      <c r="R28" s="24" t="n"/>
      <c r="S28" s="25">
        <f>IF(R28="","",IFERROR(R28-O28,""))</f>
        <v/>
      </c>
      <c r="T28" s="20" t="n"/>
      <c r="U28" s="23" t="n"/>
      <c r="W28" s="26">
        <f>IF('Paramètres'!$B$8="","",IF(DATE(YEAR('Paramètres'!$B$8),MONTH('Paramètres'!$B$8)+24,1)&gt;'Paramètres'!$B$9,"",DATE(YEAR('Paramètres'!$B$8),MONTH('Paramètres'!$B$8)+24,1)))</f>
        <v/>
      </c>
      <c r="X28" s="27">
        <f>IF($W28="","",IFERROR($AB27,0))</f>
        <v/>
      </c>
      <c r="Y28" s="27">
        <f>IF($W28="","",IFERROR(SUMIFS($P$2:$P$101,$D$2:$D$101,TEXT($W28,"yyyy-mm"),$I$2:$I$101,"&lt;&gt;Annulé"),0))</f>
        <v/>
      </c>
      <c r="Z28" s="27">
        <f>IF($W28="","",IFERROR(SUMIFS($Q$2:$Q$101,$D$2:$D$101,TEXT($W28,"yyyy-mm"),$I$2:$I$101,"&lt;&gt;Annulé"),0))</f>
        <v/>
      </c>
      <c r="AA28" s="27">
        <f>IF($W28="","",IFERROR($Y28-$Z28,0))</f>
        <v/>
      </c>
      <c r="AB28" s="27">
        <f>IF($W28="","",IFERROR($X28+$AA28,0))</f>
        <v/>
      </c>
      <c r="AC28" s="27">
        <f>IF($W28="","",IFERROR('Paramètres'!$B$11,0))</f>
        <v/>
      </c>
      <c r="AD28" s="27">
        <f>IF($W28="","",IFERROR($AB28-$AC28,0))</f>
        <v/>
      </c>
      <c r="AE28" s="28">
        <f>IF($W28="","",IFERROR(IF($AB28&lt;$AC28,"À surveiller","OK"),"À vérifier"))</f>
        <v/>
      </c>
      <c r="AF28" s="27">
        <f>IF($W28="","",IFERROR(SUMIFS($R$2:$R$101,$D$2:$D$101,TEXT($W28,"yyyy-mm"),$E$2:$E$101,"Encaissement",$I$2:$I$101,"Réalisé"),0))</f>
        <v/>
      </c>
      <c r="AG28" s="27">
        <f>IF($W28="","",IFERROR(SUMIFS($R$2:$R$101,$D$2:$D$101,TEXT($W28,"yyyy-mm"),$E$2:$E$101,"Décaissement",$I$2:$I$101,"Réalisé"),0))</f>
        <v/>
      </c>
    </row>
    <row r="29">
      <c r="A29" s="20" t="n"/>
      <c r="B29" s="21" t="n"/>
      <c r="C29" s="21" t="n"/>
      <c r="D29" s="22">
        <f>IF(B29="","",IFERROR(TEXT(B29,"yyyy-mm"),""))</f>
        <v/>
      </c>
      <c r="E29" s="20" t="n"/>
      <c r="F29" s="20" t="n"/>
      <c r="G29" s="23" t="n"/>
      <c r="H29" s="23" t="n"/>
      <c r="I29" s="20" t="n"/>
      <c r="J29" s="20" t="n"/>
      <c r="K29" s="20" t="n"/>
      <c r="L29" s="24" t="n"/>
      <c r="M29" s="25">
        <f>IF(L29="","",IFERROR(IF(AND(J29="Oui",'Paramètres'!$B$16="Oui"),L29*'Paramètres'!$B$14,0),0))</f>
        <v/>
      </c>
      <c r="N29" s="25">
        <f>IF(L29="","",IFERROR(IF(AND(K29="Oui",'Paramètres'!$B$16="Oui"),L29*'Paramètres'!$B$15,0),0))</f>
        <v/>
      </c>
      <c r="O29" s="25">
        <f>IF(L29="","",IFERROR(L29+M29+N29,0))</f>
        <v/>
      </c>
      <c r="P29" s="25">
        <f>IF(A29="","",IFERROR(IF(E29="Encaissement",O29,0),0))</f>
        <v/>
      </c>
      <c r="Q29" s="25">
        <f>IF(A29="","",IFERROR(IF(E29="Décaissement",O29,0),0))</f>
        <v/>
      </c>
      <c r="R29" s="24" t="n"/>
      <c r="S29" s="25">
        <f>IF(R29="","",IFERROR(R29-O29,""))</f>
        <v/>
      </c>
      <c r="T29" s="20" t="n"/>
      <c r="U29" s="23" t="n"/>
      <c r="W29" s="26">
        <f>IF('Paramètres'!$B$8="","",IF(DATE(YEAR('Paramètres'!$B$8),MONTH('Paramètres'!$B$8)+25,1)&gt;'Paramètres'!$B$9,"",DATE(YEAR('Paramètres'!$B$8),MONTH('Paramètres'!$B$8)+25,1)))</f>
        <v/>
      </c>
      <c r="X29" s="27">
        <f>IF($W29="","",IFERROR($AB28,0))</f>
        <v/>
      </c>
      <c r="Y29" s="27">
        <f>IF($W29="","",IFERROR(SUMIFS($P$2:$P$101,$D$2:$D$101,TEXT($W29,"yyyy-mm"),$I$2:$I$101,"&lt;&gt;Annulé"),0))</f>
        <v/>
      </c>
      <c r="Z29" s="27">
        <f>IF($W29="","",IFERROR(SUMIFS($Q$2:$Q$101,$D$2:$D$101,TEXT($W29,"yyyy-mm"),$I$2:$I$101,"&lt;&gt;Annulé"),0))</f>
        <v/>
      </c>
      <c r="AA29" s="27">
        <f>IF($W29="","",IFERROR($Y29-$Z29,0))</f>
        <v/>
      </c>
      <c r="AB29" s="27">
        <f>IF($W29="","",IFERROR($X29+$AA29,0))</f>
        <v/>
      </c>
      <c r="AC29" s="27">
        <f>IF($W29="","",IFERROR('Paramètres'!$B$11,0))</f>
        <v/>
      </c>
      <c r="AD29" s="27">
        <f>IF($W29="","",IFERROR($AB29-$AC29,0))</f>
        <v/>
      </c>
      <c r="AE29" s="28">
        <f>IF($W29="","",IFERROR(IF($AB29&lt;$AC29,"À surveiller","OK"),"À vérifier"))</f>
        <v/>
      </c>
      <c r="AF29" s="27">
        <f>IF($W29="","",IFERROR(SUMIFS($R$2:$R$101,$D$2:$D$101,TEXT($W29,"yyyy-mm"),$E$2:$E$101,"Encaissement",$I$2:$I$101,"Réalisé"),0))</f>
        <v/>
      </c>
      <c r="AG29" s="27">
        <f>IF($W29="","",IFERROR(SUMIFS($R$2:$R$101,$D$2:$D$101,TEXT($W29,"yyyy-mm"),$E$2:$E$101,"Décaissement",$I$2:$I$101,"Réalisé"),0))</f>
        <v/>
      </c>
    </row>
    <row r="30">
      <c r="A30" s="20" t="n"/>
      <c r="B30" s="21" t="n"/>
      <c r="C30" s="21" t="n"/>
      <c r="D30" s="22">
        <f>IF(B30="","",IFERROR(TEXT(B30,"yyyy-mm"),""))</f>
        <v/>
      </c>
      <c r="E30" s="20" t="n"/>
      <c r="F30" s="20" t="n"/>
      <c r="G30" s="23" t="n"/>
      <c r="H30" s="23" t="n"/>
      <c r="I30" s="20" t="n"/>
      <c r="J30" s="20" t="n"/>
      <c r="K30" s="20" t="n"/>
      <c r="L30" s="24" t="n"/>
      <c r="M30" s="25">
        <f>IF(L30="","",IFERROR(IF(AND(J30="Oui",'Paramètres'!$B$16="Oui"),L30*'Paramètres'!$B$14,0),0))</f>
        <v/>
      </c>
      <c r="N30" s="25">
        <f>IF(L30="","",IFERROR(IF(AND(K30="Oui",'Paramètres'!$B$16="Oui"),L30*'Paramètres'!$B$15,0),0))</f>
        <v/>
      </c>
      <c r="O30" s="25">
        <f>IF(L30="","",IFERROR(L30+M30+N30,0))</f>
        <v/>
      </c>
      <c r="P30" s="25">
        <f>IF(A30="","",IFERROR(IF(E30="Encaissement",O30,0),0))</f>
        <v/>
      </c>
      <c r="Q30" s="25">
        <f>IF(A30="","",IFERROR(IF(E30="Décaissement",O30,0),0))</f>
        <v/>
      </c>
      <c r="R30" s="24" t="n"/>
      <c r="S30" s="25">
        <f>IF(R30="","",IFERROR(R30-O30,""))</f>
        <v/>
      </c>
      <c r="T30" s="20" t="n"/>
      <c r="U30" s="23" t="n"/>
      <c r="W30" s="26">
        <f>IF('Paramètres'!$B$8="","",IF(DATE(YEAR('Paramètres'!$B$8),MONTH('Paramètres'!$B$8)+26,1)&gt;'Paramètres'!$B$9,"",DATE(YEAR('Paramètres'!$B$8),MONTH('Paramètres'!$B$8)+26,1)))</f>
        <v/>
      </c>
      <c r="X30" s="27">
        <f>IF($W30="","",IFERROR($AB29,0))</f>
        <v/>
      </c>
      <c r="Y30" s="27">
        <f>IF($W30="","",IFERROR(SUMIFS($P$2:$P$101,$D$2:$D$101,TEXT($W30,"yyyy-mm"),$I$2:$I$101,"&lt;&gt;Annulé"),0))</f>
        <v/>
      </c>
      <c r="Z30" s="27">
        <f>IF($W30="","",IFERROR(SUMIFS($Q$2:$Q$101,$D$2:$D$101,TEXT($W30,"yyyy-mm"),$I$2:$I$101,"&lt;&gt;Annulé"),0))</f>
        <v/>
      </c>
      <c r="AA30" s="27">
        <f>IF($W30="","",IFERROR($Y30-$Z30,0))</f>
        <v/>
      </c>
      <c r="AB30" s="27">
        <f>IF($W30="","",IFERROR($X30+$AA30,0))</f>
        <v/>
      </c>
      <c r="AC30" s="27">
        <f>IF($W30="","",IFERROR('Paramètres'!$B$11,0))</f>
        <v/>
      </c>
      <c r="AD30" s="27">
        <f>IF($W30="","",IFERROR($AB30-$AC30,0))</f>
        <v/>
      </c>
      <c r="AE30" s="28">
        <f>IF($W30="","",IFERROR(IF($AB30&lt;$AC30,"À surveiller","OK"),"À vérifier"))</f>
        <v/>
      </c>
      <c r="AF30" s="27">
        <f>IF($W30="","",IFERROR(SUMIFS($R$2:$R$101,$D$2:$D$101,TEXT($W30,"yyyy-mm"),$E$2:$E$101,"Encaissement",$I$2:$I$101,"Réalisé"),0))</f>
        <v/>
      </c>
      <c r="AG30" s="27">
        <f>IF($W30="","",IFERROR(SUMIFS($R$2:$R$101,$D$2:$D$101,TEXT($W30,"yyyy-mm"),$E$2:$E$101,"Décaissement",$I$2:$I$101,"Réalisé"),0))</f>
        <v/>
      </c>
    </row>
    <row r="31">
      <c r="A31" s="20" t="n"/>
      <c r="B31" s="21" t="n"/>
      <c r="C31" s="21" t="n"/>
      <c r="D31" s="22">
        <f>IF(B31="","",IFERROR(TEXT(B31,"yyyy-mm"),""))</f>
        <v/>
      </c>
      <c r="E31" s="20" t="n"/>
      <c r="F31" s="20" t="n"/>
      <c r="G31" s="23" t="n"/>
      <c r="H31" s="23" t="n"/>
      <c r="I31" s="20" t="n"/>
      <c r="J31" s="20" t="n"/>
      <c r="K31" s="20" t="n"/>
      <c r="L31" s="24" t="n"/>
      <c r="M31" s="25">
        <f>IF(L31="","",IFERROR(IF(AND(J31="Oui",'Paramètres'!$B$16="Oui"),L31*'Paramètres'!$B$14,0),0))</f>
        <v/>
      </c>
      <c r="N31" s="25">
        <f>IF(L31="","",IFERROR(IF(AND(K31="Oui",'Paramètres'!$B$16="Oui"),L31*'Paramètres'!$B$15,0),0))</f>
        <v/>
      </c>
      <c r="O31" s="25">
        <f>IF(L31="","",IFERROR(L31+M31+N31,0))</f>
        <v/>
      </c>
      <c r="P31" s="25">
        <f>IF(A31="","",IFERROR(IF(E31="Encaissement",O31,0),0))</f>
        <v/>
      </c>
      <c r="Q31" s="25">
        <f>IF(A31="","",IFERROR(IF(E31="Décaissement",O31,0),0))</f>
        <v/>
      </c>
      <c r="R31" s="24" t="n"/>
      <c r="S31" s="25">
        <f>IF(R31="","",IFERROR(R31-O31,""))</f>
        <v/>
      </c>
      <c r="T31" s="20" t="n"/>
      <c r="U31" s="23" t="n"/>
      <c r="W31" s="26">
        <f>IF('Paramètres'!$B$8="","",IF(DATE(YEAR('Paramètres'!$B$8),MONTH('Paramètres'!$B$8)+27,1)&gt;'Paramètres'!$B$9,"",DATE(YEAR('Paramètres'!$B$8),MONTH('Paramètres'!$B$8)+27,1)))</f>
        <v/>
      </c>
      <c r="X31" s="27">
        <f>IF($W31="","",IFERROR($AB30,0))</f>
        <v/>
      </c>
      <c r="Y31" s="27">
        <f>IF($W31="","",IFERROR(SUMIFS($P$2:$P$101,$D$2:$D$101,TEXT($W31,"yyyy-mm"),$I$2:$I$101,"&lt;&gt;Annulé"),0))</f>
        <v/>
      </c>
      <c r="Z31" s="27">
        <f>IF($W31="","",IFERROR(SUMIFS($Q$2:$Q$101,$D$2:$D$101,TEXT($W31,"yyyy-mm"),$I$2:$I$101,"&lt;&gt;Annulé"),0))</f>
        <v/>
      </c>
      <c r="AA31" s="27">
        <f>IF($W31="","",IFERROR($Y31-$Z31,0))</f>
        <v/>
      </c>
      <c r="AB31" s="27">
        <f>IF($W31="","",IFERROR($X31+$AA31,0))</f>
        <v/>
      </c>
      <c r="AC31" s="27">
        <f>IF($W31="","",IFERROR('Paramètres'!$B$11,0))</f>
        <v/>
      </c>
      <c r="AD31" s="27">
        <f>IF($W31="","",IFERROR($AB31-$AC31,0))</f>
        <v/>
      </c>
      <c r="AE31" s="28">
        <f>IF($W31="","",IFERROR(IF($AB31&lt;$AC31,"À surveiller","OK"),"À vérifier"))</f>
        <v/>
      </c>
      <c r="AF31" s="27">
        <f>IF($W31="","",IFERROR(SUMIFS($R$2:$R$101,$D$2:$D$101,TEXT($W31,"yyyy-mm"),$E$2:$E$101,"Encaissement",$I$2:$I$101,"Réalisé"),0))</f>
        <v/>
      </c>
      <c r="AG31" s="27">
        <f>IF($W31="","",IFERROR(SUMIFS($R$2:$R$101,$D$2:$D$101,TEXT($W31,"yyyy-mm"),$E$2:$E$101,"Décaissement",$I$2:$I$101,"Réalisé"),0))</f>
        <v/>
      </c>
    </row>
    <row r="32">
      <c r="A32" s="20" t="n"/>
      <c r="B32" s="21" t="n"/>
      <c r="C32" s="21" t="n"/>
      <c r="D32" s="22">
        <f>IF(B32="","",IFERROR(TEXT(B32,"yyyy-mm"),""))</f>
        <v/>
      </c>
      <c r="E32" s="20" t="n"/>
      <c r="F32" s="20" t="n"/>
      <c r="G32" s="23" t="n"/>
      <c r="H32" s="23" t="n"/>
      <c r="I32" s="20" t="n"/>
      <c r="J32" s="20" t="n"/>
      <c r="K32" s="20" t="n"/>
      <c r="L32" s="24" t="n"/>
      <c r="M32" s="25">
        <f>IF(L32="","",IFERROR(IF(AND(J32="Oui",'Paramètres'!$B$16="Oui"),L32*'Paramètres'!$B$14,0),0))</f>
        <v/>
      </c>
      <c r="N32" s="25">
        <f>IF(L32="","",IFERROR(IF(AND(K32="Oui",'Paramètres'!$B$16="Oui"),L32*'Paramètres'!$B$15,0),0))</f>
        <v/>
      </c>
      <c r="O32" s="25">
        <f>IF(L32="","",IFERROR(L32+M32+N32,0))</f>
        <v/>
      </c>
      <c r="P32" s="25">
        <f>IF(A32="","",IFERROR(IF(E32="Encaissement",O32,0),0))</f>
        <v/>
      </c>
      <c r="Q32" s="25">
        <f>IF(A32="","",IFERROR(IF(E32="Décaissement",O32,0),0))</f>
        <v/>
      </c>
      <c r="R32" s="24" t="n"/>
      <c r="S32" s="25">
        <f>IF(R32="","",IFERROR(R32-O32,""))</f>
        <v/>
      </c>
      <c r="T32" s="20" t="n"/>
      <c r="U32" s="23" t="n"/>
      <c r="W32" s="26">
        <f>IF('Paramètres'!$B$8="","",IF(DATE(YEAR('Paramètres'!$B$8),MONTH('Paramètres'!$B$8)+28,1)&gt;'Paramètres'!$B$9,"",DATE(YEAR('Paramètres'!$B$8),MONTH('Paramètres'!$B$8)+28,1)))</f>
        <v/>
      </c>
      <c r="X32" s="27">
        <f>IF($W32="","",IFERROR($AB31,0))</f>
        <v/>
      </c>
      <c r="Y32" s="27">
        <f>IF($W32="","",IFERROR(SUMIFS($P$2:$P$101,$D$2:$D$101,TEXT($W32,"yyyy-mm"),$I$2:$I$101,"&lt;&gt;Annulé"),0))</f>
        <v/>
      </c>
      <c r="Z32" s="27">
        <f>IF($W32="","",IFERROR(SUMIFS($Q$2:$Q$101,$D$2:$D$101,TEXT($W32,"yyyy-mm"),$I$2:$I$101,"&lt;&gt;Annulé"),0))</f>
        <v/>
      </c>
      <c r="AA32" s="27">
        <f>IF($W32="","",IFERROR($Y32-$Z32,0))</f>
        <v/>
      </c>
      <c r="AB32" s="27">
        <f>IF($W32="","",IFERROR($X32+$AA32,0))</f>
        <v/>
      </c>
      <c r="AC32" s="27">
        <f>IF($W32="","",IFERROR('Paramètres'!$B$11,0))</f>
        <v/>
      </c>
      <c r="AD32" s="27">
        <f>IF($W32="","",IFERROR($AB32-$AC32,0))</f>
        <v/>
      </c>
      <c r="AE32" s="28">
        <f>IF($W32="","",IFERROR(IF($AB32&lt;$AC32,"À surveiller","OK"),"À vérifier"))</f>
        <v/>
      </c>
      <c r="AF32" s="27">
        <f>IF($W32="","",IFERROR(SUMIFS($R$2:$R$101,$D$2:$D$101,TEXT($W32,"yyyy-mm"),$E$2:$E$101,"Encaissement",$I$2:$I$101,"Réalisé"),0))</f>
        <v/>
      </c>
      <c r="AG32" s="27">
        <f>IF($W32="","",IFERROR(SUMIFS($R$2:$R$101,$D$2:$D$101,TEXT($W32,"yyyy-mm"),$E$2:$E$101,"Décaissement",$I$2:$I$101,"Réalisé"),0))</f>
        <v/>
      </c>
    </row>
    <row r="33">
      <c r="A33" s="20" t="n"/>
      <c r="B33" s="21" t="n"/>
      <c r="C33" s="21" t="n"/>
      <c r="D33" s="22">
        <f>IF(B33="","",IFERROR(TEXT(B33,"yyyy-mm"),""))</f>
        <v/>
      </c>
      <c r="E33" s="20" t="n"/>
      <c r="F33" s="20" t="n"/>
      <c r="G33" s="23" t="n"/>
      <c r="H33" s="23" t="n"/>
      <c r="I33" s="20" t="n"/>
      <c r="J33" s="20" t="n"/>
      <c r="K33" s="20" t="n"/>
      <c r="L33" s="24" t="n"/>
      <c r="M33" s="25">
        <f>IF(L33="","",IFERROR(IF(AND(J33="Oui",'Paramètres'!$B$16="Oui"),L33*'Paramètres'!$B$14,0),0))</f>
        <v/>
      </c>
      <c r="N33" s="25">
        <f>IF(L33="","",IFERROR(IF(AND(K33="Oui",'Paramètres'!$B$16="Oui"),L33*'Paramètres'!$B$15,0),0))</f>
        <v/>
      </c>
      <c r="O33" s="25">
        <f>IF(L33="","",IFERROR(L33+M33+N33,0))</f>
        <v/>
      </c>
      <c r="P33" s="25">
        <f>IF(A33="","",IFERROR(IF(E33="Encaissement",O33,0),0))</f>
        <v/>
      </c>
      <c r="Q33" s="25">
        <f>IF(A33="","",IFERROR(IF(E33="Décaissement",O33,0),0))</f>
        <v/>
      </c>
      <c r="R33" s="24" t="n"/>
      <c r="S33" s="25">
        <f>IF(R33="","",IFERROR(R33-O33,""))</f>
        <v/>
      </c>
      <c r="T33" s="20" t="n"/>
      <c r="U33" s="23" t="n"/>
      <c r="W33" s="26">
        <f>IF('Paramètres'!$B$8="","",IF(DATE(YEAR('Paramètres'!$B$8),MONTH('Paramètres'!$B$8)+29,1)&gt;'Paramètres'!$B$9,"",DATE(YEAR('Paramètres'!$B$8),MONTH('Paramètres'!$B$8)+29,1)))</f>
        <v/>
      </c>
      <c r="X33" s="27">
        <f>IF($W33="","",IFERROR($AB32,0))</f>
        <v/>
      </c>
      <c r="Y33" s="27">
        <f>IF($W33="","",IFERROR(SUMIFS($P$2:$P$101,$D$2:$D$101,TEXT($W33,"yyyy-mm"),$I$2:$I$101,"&lt;&gt;Annulé"),0))</f>
        <v/>
      </c>
      <c r="Z33" s="27">
        <f>IF($W33="","",IFERROR(SUMIFS($Q$2:$Q$101,$D$2:$D$101,TEXT($W33,"yyyy-mm"),$I$2:$I$101,"&lt;&gt;Annulé"),0))</f>
        <v/>
      </c>
      <c r="AA33" s="27">
        <f>IF($W33="","",IFERROR($Y33-$Z33,0))</f>
        <v/>
      </c>
      <c r="AB33" s="27">
        <f>IF($W33="","",IFERROR($X33+$AA33,0))</f>
        <v/>
      </c>
      <c r="AC33" s="27">
        <f>IF($W33="","",IFERROR('Paramètres'!$B$11,0))</f>
        <v/>
      </c>
      <c r="AD33" s="27">
        <f>IF($W33="","",IFERROR($AB33-$AC33,0))</f>
        <v/>
      </c>
      <c r="AE33" s="28">
        <f>IF($W33="","",IFERROR(IF($AB33&lt;$AC33,"À surveiller","OK"),"À vérifier"))</f>
        <v/>
      </c>
      <c r="AF33" s="27">
        <f>IF($W33="","",IFERROR(SUMIFS($R$2:$R$101,$D$2:$D$101,TEXT($W33,"yyyy-mm"),$E$2:$E$101,"Encaissement",$I$2:$I$101,"Réalisé"),0))</f>
        <v/>
      </c>
      <c r="AG33" s="27">
        <f>IF($W33="","",IFERROR(SUMIFS($R$2:$R$101,$D$2:$D$101,TEXT($W33,"yyyy-mm"),$E$2:$E$101,"Décaissement",$I$2:$I$101,"Réalisé"),0))</f>
        <v/>
      </c>
    </row>
    <row r="34">
      <c r="A34" s="20" t="n"/>
      <c r="B34" s="21" t="n"/>
      <c r="C34" s="21" t="n"/>
      <c r="D34" s="22">
        <f>IF(B34="","",IFERROR(TEXT(B34,"yyyy-mm"),""))</f>
        <v/>
      </c>
      <c r="E34" s="20" t="n"/>
      <c r="F34" s="20" t="n"/>
      <c r="G34" s="23" t="n"/>
      <c r="H34" s="23" t="n"/>
      <c r="I34" s="20" t="n"/>
      <c r="J34" s="20" t="n"/>
      <c r="K34" s="20" t="n"/>
      <c r="L34" s="24" t="n"/>
      <c r="M34" s="25">
        <f>IF(L34="","",IFERROR(IF(AND(J34="Oui",'Paramètres'!$B$16="Oui"),L34*'Paramètres'!$B$14,0),0))</f>
        <v/>
      </c>
      <c r="N34" s="25">
        <f>IF(L34="","",IFERROR(IF(AND(K34="Oui",'Paramètres'!$B$16="Oui"),L34*'Paramètres'!$B$15,0),0))</f>
        <v/>
      </c>
      <c r="O34" s="25">
        <f>IF(L34="","",IFERROR(L34+M34+N34,0))</f>
        <v/>
      </c>
      <c r="P34" s="25">
        <f>IF(A34="","",IFERROR(IF(E34="Encaissement",O34,0),0))</f>
        <v/>
      </c>
      <c r="Q34" s="25">
        <f>IF(A34="","",IFERROR(IF(E34="Décaissement",O34,0),0))</f>
        <v/>
      </c>
      <c r="R34" s="24" t="n"/>
      <c r="S34" s="25">
        <f>IF(R34="","",IFERROR(R34-O34,""))</f>
        <v/>
      </c>
      <c r="T34" s="20" t="n"/>
      <c r="U34" s="23" t="n"/>
      <c r="W34" s="26">
        <f>IF('Paramètres'!$B$8="","",IF(DATE(YEAR('Paramètres'!$B$8),MONTH('Paramètres'!$B$8)+30,1)&gt;'Paramètres'!$B$9,"",DATE(YEAR('Paramètres'!$B$8),MONTH('Paramètres'!$B$8)+30,1)))</f>
        <v/>
      </c>
      <c r="X34" s="27">
        <f>IF($W34="","",IFERROR($AB33,0))</f>
        <v/>
      </c>
      <c r="Y34" s="27">
        <f>IF($W34="","",IFERROR(SUMIFS($P$2:$P$101,$D$2:$D$101,TEXT($W34,"yyyy-mm"),$I$2:$I$101,"&lt;&gt;Annulé"),0))</f>
        <v/>
      </c>
      <c r="Z34" s="27">
        <f>IF($W34="","",IFERROR(SUMIFS($Q$2:$Q$101,$D$2:$D$101,TEXT($W34,"yyyy-mm"),$I$2:$I$101,"&lt;&gt;Annulé"),0))</f>
        <v/>
      </c>
      <c r="AA34" s="27">
        <f>IF($W34="","",IFERROR($Y34-$Z34,0))</f>
        <v/>
      </c>
      <c r="AB34" s="27">
        <f>IF($W34="","",IFERROR($X34+$AA34,0))</f>
        <v/>
      </c>
      <c r="AC34" s="27">
        <f>IF($W34="","",IFERROR('Paramètres'!$B$11,0))</f>
        <v/>
      </c>
      <c r="AD34" s="27">
        <f>IF($W34="","",IFERROR($AB34-$AC34,0))</f>
        <v/>
      </c>
      <c r="AE34" s="28">
        <f>IF($W34="","",IFERROR(IF($AB34&lt;$AC34,"À surveiller","OK"),"À vérifier"))</f>
        <v/>
      </c>
      <c r="AF34" s="27">
        <f>IF($W34="","",IFERROR(SUMIFS($R$2:$R$101,$D$2:$D$101,TEXT($W34,"yyyy-mm"),$E$2:$E$101,"Encaissement",$I$2:$I$101,"Réalisé"),0))</f>
        <v/>
      </c>
      <c r="AG34" s="27">
        <f>IF($W34="","",IFERROR(SUMIFS($R$2:$R$101,$D$2:$D$101,TEXT($W34,"yyyy-mm"),$E$2:$E$101,"Décaissement",$I$2:$I$101,"Réalisé"),0))</f>
        <v/>
      </c>
    </row>
    <row r="35">
      <c r="A35" s="20" t="n"/>
      <c r="B35" s="21" t="n"/>
      <c r="C35" s="21" t="n"/>
      <c r="D35" s="22">
        <f>IF(B35="","",IFERROR(TEXT(B35,"yyyy-mm"),""))</f>
        <v/>
      </c>
      <c r="E35" s="20" t="n"/>
      <c r="F35" s="20" t="n"/>
      <c r="G35" s="23" t="n"/>
      <c r="H35" s="23" t="n"/>
      <c r="I35" s="20" t="n"/>
      <c r="J35" s="20" t="n"/>
      <c r="K35" s="20" t="n"/>
      <c r="L35" s="24" t="n"/>
      <c r="M35" s="25">
        <f>IF(L35="","",IFERROR(IF(AND(J35="Oui",'Paramètres'!$B$16="Oui"),L35*'Paramètres'!$B$14,0),0))</f>
        <v/>
      </c>
      <c r="N35" s="25">
        <f>IF(L35="","",IFERROR(IF(AND(K35="Oui",'Paramètres'!$B$16="Oui"),L35*'Paramètres'!$B$15,0),0))</f>
        <v/>
      </c>
      <c r="O35" s="25">
        <f>IF(L35="","",IFERROR(L35+M35+N35,0))</f>
        <v/>
      </c>
      <c r="P35" s="25">
        <f>IF(A35="","",IFERROR(IF(E35="Encaissement",O35,0),0))</f>
        <v/>
      </c>
      <c r="Q35" s="25">
        <f>IF(A35="","",IFERROR(IF(E35="Décaissement",O35,0),0))</f>
        <v/>
      </c>
      <c r="R35" s="24" t="n"/>
      <c r="S35" s="25">
        <f>IF(R35="","",IFERROR(R35-O35,""))</f>
        <v/>
      </c>
      <c r="T35" s="20" t="n"/>
      <c r="U35" s="23" t="n"/>
      <c r="W35" s="26">
        <f>IF('Paramètres'!$B$8="","",IF(DATE(YEAR('Paramètres'!$B$8),MONTH('Paramètres'!$B$8)+31,1)&gt;'Paramètres'!$B$9,"",DATE(YEAR('Paramètres'!$B$8),MONTH('Paramètres'!$B$8)+31,1)))</f>
        <v/>
      </c>
      <c r="X35" s="27">
        <f>IF($W35="","",IFERROR($AB34,0))</f>
        <v/>
      </c>
      <c r="Y35" s="27">
        <f>IF($W35="","",IFERROR(SUMIFS($P$2:$P$101,$D$2:$D$101,TEXT($W35,"yyyy-mm"),$I$2:$I$101,"&lt;&gt;Annulé"),0))</f>
        <v/>
      </c>
      <c r="Z35" s="27">
        <f>IF($W35="","",IFERROR(SUMIFS($Q$2:$Q$101,$D$2:$D$101,TEXT($W35,"yyyy-mm"),$I$2:$I$101,"&lt;&gt;Annulé"),0))</f>
        <v/>
      </c>
      <c r="AA35" s="27">
        <f>IF($W35="","",IFERROR($Y35-$Z35,0))</f>
        <v/>
      </c>
      <c r="AB35" s="27">
        <f>IF($W35="","",IFERROR($X35+$AA35,0))</f>
        <v/>
      </c>
      <c r="AC35" s="27">
        <f>IF($W35="","",IFERROR('Paramètres'!$B$11,0))</f>
        <v/>
      </c>
      <c r="AD35" s="27">
        <f>IF($W35="","",IFERROR($AB35-$AC35,0))</f>
        <v/>
      </c>
      <c r="AE35" s="28">
        <f>IF($W35="","",IFERROR(IF($AB35&lt;$AC35,"À surveiller","OK"),"À vérifier"))</f>
        <v/>
      </c>
      <c r="AF35" s="27">
        <f>IF($W35="","",IFERROR(SUMIFS($R$2:$R$101,$D$2:$D$101,TEXT($W35,"yyyy-mm"),$E$2:$E$101,"Encaissement",$I$2:$I$101,"Réalisé"),0))</f>
        <v/>
      </c>
      <c r="AG35" s="27">
        <f>IF($W35="","",IFERROR(SUMIFS($R$2:$R$101,$D$2:$D$101,TEXT($W35,"yyyy-mm"),$E$2:$E$101,"Décaissement",$I$2:$I$101,"Réalisé"),0))</f>
        <v/>
      </c>
    </row>
    <row r="36">
      <c r="A36" s="20" t="n"/>
      <c r="B36" s="21" t="n"/>
      <c r="C36" s="21" t="n"/>
      <c r="D36" s="22">
        <f>IF(B36="","",IFERROR(TEXT(B36,"yyyy-mm"),""))</f>
        <v/>
      </c>
      <c r="E36" s="20" t="n"/>
      <c r="F36" s="20" t="n"/>
      <c r="G36" s="23" t="n"/>
      <c r="H36" s="23" t="n"/>
      <c r="I36" s="20" t="n"/>
      <c r="J36" s="20" t="n"/>
      <c r="K36" s="20" t="n"/>
      <c r="L36" s="24" t="n"/>
      <c r="M36" s="25">
        <f>IF(L36="","",IFERROR(IF(AND(J36="Oui",'Paramètres'!$B$16="Oui"),L36*'Paramètres'!$B$14,0),0))</f>
        <v/>
      </c>
      <c r="N36" s="25">
        <f>IF(L36="","",IFERROR(IF(AND(K36="Oui",'Paramètres'!$B$16="Oui"),L36*'Paramètres'!$B$15,0),0))</f>
        <v/>
      </c>
      <c r="O36" s="25">
        <f>IF(L36="","",IFERROR(L36+M36+N36,0))</f>
        <v/>
      </c>
      <c r="P36" s="25">
        <f>IF(A36="","",IFERROR(IF(E36="Encaissement",O36,0),0))</f>
        <v/>
      </c>
      <c r="Q36" s="25">
        <f>IF(A36="","",IFERROR(IF(E36="Décaissement",O36,0),0))</f>
        <v/>
      </c>
      <c r="R36" s="24" t="n"/>
      <c r="S36" s="25">
        <f>IF(R36="","",IFERROR(R36-O36,""))</f>
        <v/>
      </c>
      <c r="T36" s="20" t="n"/>
      <c r="U36" s="23" t="n"/>
      <c r="W36" s="26">
        <f>IF('Paramètres'!$B$8="","",IF(DATE(YEAR('Paramètres'!$B$8),MONTH('Paramètres'!$B$8)+32,1)&gt;'Paramètres'!$B$9,"",DATE(YEAR('Paramètres'!$B$8),MONTH('Paramètres'!$B$8)+32,1)))</f>
        <v/>
      </c>
      <c r="X36" s="27">
        <f>IF($W36="","",IFERROR($AB35,0))</f>
        <v/>
      </c>
      <c r="Y36" s="27">
        <f>IF($W36="","",IFERROR(SUMIFS($P$2:$P$101,$D$2:$D$101,TEXT($W36,"yyyy-mm"),$I$2:$I$101,"&lt;&gt;Annulé"),0))</f>
        <v/>
      </c>
      <c r="Z36" s="27">
        <f>IF($W36="","",IFERROR(SUMIFS($Q$2:$Q$101,$D$2:$D$101,TEXT($W36,"yyyy-mm"),$I$2:$I$101,"&lt;&gt;Annulé"),0))</f>
        <v/>
      </c>
      <c r="AA36" s="27">
        <f>IF($W36="","",IFERROR($Y36-$Z36,0))</f>
        <v/>
      </c>
      <c r="AB36" s="27">
        <f>IF($W36="","",IFERROR($X36+$AA36,0))</f>
        <v/>
      </c>
      <c r="AC36" s="27">
        <f>IF($W36="","",IFERROR('Paramètres'!$B$11,0))</f>
        <v/>
      </c>
      <c r="AD36" s="27">
        <f>IF($W36="","",IFERROR($AB36-$AC36,0))</f>
        <v/>
      </c>
      <c r="AE36" s="28">
        <f>IF($W36="","",IFERROR(IF($AB36&lt;$AC36,"À surveiller","OK"),"À vérifier"))</f>
        <v/>
      </c>
      <c r="AF36" s="27">
        <f>IF($W36="","",IFERROR(SUMIFS($R$2:$R$101,$D$2:$D$101,TEXT($W36,"yyyy-mm"),$E$2:$E$101,"Encaissement",$I$2:$I$101,"Réalisé"),0))</f>
        <v/>
      </c>
      <c r="AG36" s="27">
        <f>IF($W36="","",IFERROR(SUMIFS($R$2:$R$101,$D$2:$D$101,TEXT($W36,"yyyy-mm"),$E$2:$E$101,"Décaissement",$I$2:$I$101,"Réalisé"),0))</f>
        <v/>
      </c>
    </row>
    <row r="37">
      <c r="A37" s="20" t="n"/>
      <c r="B37" s="21" t="n"/>
      <c r="C37" s="21" t="n"/>
      <c r="D37" s="22">
        <f>IF(B37="","",IFERROR(TEXT(B37,"yyyy-mm"),""))</f>
        <v/>
      </c>
      <c r="E37" s="20" t="n"/>
      <c r="F37" s="20" t="n"/>
      <c r="G37" s="23" t="n"/>
      <c r="H37" s="23" t="n"/>
      <c r="I37" s="20" t="n"/>
      <c r="J37" s="20" t="n"/>
      <c r="K37" s="20" t="n"/>
      <c r="L37" s="24" t="n"/>
      <c r="M37" s="25">
        <f>IF(L37="","",IFERROR(IF(AND(J37="Oui",'Paramètres'!$B$16="Oui"),L37*'Paramètres'!$B$14,0),0))</f>
        <v/>
      </c>
      <c r="N37" s="25">
        <f>IF(L37="","",IFERROR(IF(AND(K37="Oui",'Paramètres'!$B$16="Oui"),L37*'Paramètres'!$B$15,0),0))</f>
        <v/>
      </c>
      <c r="O37" s="25">
        <f>IF(L37="","",IFERROR(L37+M37+N37,0))</f>
        <v/>
      </c>
      <c r="P37" s="25">
        <f>IF(A37="","",IFERROR(IF(E37="Encaissement",O37,0),0))</f>
        <v/>
      </c>
      <c r="Q37" s="25">
        <f>IF(A37="","",IFERROR(IF(E37="Décaissement",O37,0),0))</f>
        <v/>
      </c>
      <c r="R37" s="24" t="n"/>
      <c r="S37" s="25">
        <f>IF(R37="","",IFERROR(R37-O37,""))</f>
        <v/>
      </c>
      <c r="T37" s="20" t="n"/>
      <c r="U37" s="23" t="n"/>
      <c r="W37" s="26">
        <f>IF('Paramètres'!$B$8="","",IF(DATE(YEAR('Paramètres'!$B$8),MONTH('Paramètres'!$B$8)+33,1)&gt;'Paramètres'!$B$9,"",DATE(YEAR('Paramètres'!$B$8),MONTH('Paramètres'!$B$8)+33,1)))</f>
        <v/>
      </c>
      <c r="X37" s="27">
        <f>IF($W37="","",IFERROR($AB36,0))</f>
        <v/>
      </c>
      <c r="Y37" s="27">
        <f>IF($W37="","",IFERROR(SUMIFS($P$2:$P$101,$D$2:$D$101,TEXT($W37,"yyyy-mm"),$I$2:$I$101,"&lt;&gt;Annulé"),0))</f>
        <v/>
      </c>
      <c r="Z37" s="27">
        <f>IF($W37="","",IFERROR(SUMIFS($Q$2:$Q$101,$D$2:$D$101,TEXT($W37,"yyyy-mm"),$I$2:$I$101,"&lt;&gt;Annulé"),0))</f>
        <v/>
      </c>
      <c r="AA37" s="27">
        <f>IF($W37="","",IFERROR($Y37-$Z37,0))</f>
        <v/>
      </c>
      <c r="AB37" s="27">
        <f>IF($W37="","",IFERROR($X37+$AA37,0))</f>
        <v/>
      </c>
      <c r="AC37" s="27">
        <f>IF($W37="","",IFERROR('Paramètres'!$B$11,0))</f>
        <v/>
      </c>
      <c r="AD37" s="27">
        <f>IF($W37="","",IFERROR($AB37-$AC37,0))</f>
        <v/>
      </c>
      <c r="AE37" s="28">
        <f>IF($W37="","",IFERROR(IF($AB37&lt;$AC37,"À surveiller","OK"),"À vérifier"))</f>
        <v/>
      </c>
      <c r="AF37" s="27">
        <f>IF($W37="","",IFERROR(SUMIFS($R$2:$R$101,$D$2:$D$101,TEXT($W37,"yyyy-mm"),$E$2:$E$101,"Encaissement",$I$2:$I$101,"Réalisé"),0))</f>
        <v/>
      </c>
      <c r="AG37" s="27">
        <f>IF($W37="","",IFERROR(SUMIFS($R$2:$R$101,$D$2:$D$101,TEXT($W37,"yyyy-mm"),$E$2:$E$101,"Décaissement",$I$2:$I$101,"Réalisé"),0))</f>
        <v/>
      </c>
    </row>
    <row r="38">
      <c r="A38" s="20" t="n"/>
      <c r="B38" s="21" t="n"/>
      <c r="C38" s="21" t="n"/>
      <c r="D38" s="22">
        <f>IF(B38="","",IFERROR(TEXT(B38,"yyyy-mm"),""))</f>
        <v/>
      </c>
      <c r="E38" s="20" t="n"/>
      <c r="F38" s="20" t="n"/>
      <c r="G38" s="23" t="n"/>
      <c r="H38" s="23" t="n"/>
      <c r="I38" s="20" t="n"/>
      <c r="J38" s="20" t="n"/>
      <c r="K38" s="20" t="n"/>
      <c r="L38" s="24" t="n"/>
      <c r="M38" s="25">
        <f>IF(L38="","",IFERROR(IF(AND(J38="Oui",'Paramètres'!$B$16="Oui"),L38*'Paramètres'!$B$14,0),0))</f>
        <v/>
      </c>
      <c r="N38" s="25">
        <f>IF(L38="","",IFERROR(IF(AND(K38="Oui",'Paramètres'!$B$16="Oui"),L38*'Paramètres'!$B$15,0),0))</f>
        <v/>
      </c>
      <c r="O38" s="25">
        <f>IF(L38="","",IFERROR(L38+M38+N38,0))</f>
        <v/>
      </c>
      <c r="P38" s="25">
        <f>IF(A38="","",IFERROR(IF(E38="Encaissement",O38,0),0))</f>
        <v/>
      </c>
      <c r="Q38" s="25">
        <f>IF(A38="","",IFERROR(IF(E38="Décaissement",O38,0),0))</f>
        <v/>
      </c>
      <c r="R38" s="24" t="n"/>
      <c r="S38" s="25">
        <f>IF(R38="","",IFERROR(R38-O38,""))</f>
        <v/>
      </c>
      <c r="T38" s="20" t="n"/>
      <c r="U38" s="23" t="n"/>
      <c r="W38" s="26">
        <f>IF('Paramètres'!$B$8="","",IF(DATE(YEAR('Paramètres'!$B$8),MONTH('Paramètres'!$B$8)+34,1)&gt;'Paramètres'!$B$9,"",DATE(YEAR('Paramètres'!$B$8),MONTH('Paramètres'!$B$8)+34,1)))</f>
        <v/>
      </c>
      <c r="X38" s="27">
        <f>IF($W38="","",IFERROR($AB37,0))</f>
        <v/>
      </c>
      <c r="Y38" s="27">
        <f>IF($W38="","",IFERROR(SUMIFS($P$2:$P$101,$D$2:$D$101,TEXT($W38,"yyyy-mm"),$I$2:$I$101,"&lt;&gt;Annulé"),0))</f>
        <v/>
      </c>
      <c r="Z38" s="27">
        <f>IF($W38="","",IFERROR(SUMIFS($Q$2:$Q$101,$D$2:$D$101,TEXT($W38,"yyyy-mm"),$I$2:$I$101,"&lt;&gt;Annulé"),0))</f>
        <v/>
      </c>
      <c r="AA38" s="27">
        <f>IF($W38="","",IFERROR($Y38-$Z38,0))</f>
        <v/>
      </c>
      <c r="AB38" s="27">
        <f>IF($W38="","",IFERROR($X38+$AA38,0))</f>
        <v/>
      </c>
      <c r="AC38" s="27">
        <f>IF($W38="","",IFERROR('Paramètres'!$B$11,0))</f>
        <v/>
      </c>
      <c r="AD38" s="27">
        <f>IF($W38="","",IFERROR($AB38-$AC38,0))</f>
        <v/>
      </c>
      <c r="AE38" s="28">
        <f>IF($W38="","",IFERROR(IF($AB38&lt;$AC38,"À surveiller","OK"),"À vérifier"))</f>
        <v/>
      </c>
      <c r="AF38" s="27">
        <f>IF($W38="","",IFERROR(SUMIFS($R$2:$R$101,$D$2:$D$101,TEXT($W38,"yyyy-mm"),$E$2:$E$101,"Encaissement",$I$2:$I$101,"Réalisé"),0))</f>
        <v/>
      </c>
      <c r="AG38" s="27">
        <f>IF($W38="","",IFERROR(SUMIFS($R$2:$R$101,$D$2:$D$101,TEXT($W38,"yyyy-mm"),$E$2:$E$101,"Décaissement",$I$2:$I$101,"Réalisé"),0))</f>
        <v/>
      </c>
    </row>
    <row r="39">
      <c r="A39" s="20" t="n"/>
      <c r="B39" s="21" t="n"/>
      <c r="C39" s="21" t="n"/>
      <c r="D39" s="22">
        <f>IF(B39="","",IFERROR(TEXT(B39,"yyyy-mm"),""))</f>
        <v/>
      </c>
      <c r="E39" s="20" t="n"/>
      <c r="F39" s="20" t="n"/>
      <c r="G39" s="23" t="n"/>
      <c r="H39" s="23" t="n"/>
      <c r="I39" s="20" t="n"/>
      <c r="J39" s="20" t="n"/>
      <c r="K39" s="20" t="n"/>
      <c r="L39" s="24" t="n"/>
      <c r="M39" s="25">
        <f>IF(L39="","",IFERROR(IF(AND(J39="Oui",'Paramètres'!$B$16="Oui"),L39*'Paramètres'!$B$14,0),0))</f>
        <v/>
      </c>
      <c r="N39" s="25">
        <f>IF(L39="","",IFERROR(IF(AND(K39="Oui",'Paramètres'!$B$16="Oui"),L39*'Paramètres'!$B$15,0),0))</f>
        <v/>
      </c>
      <c r="O39" s="25">
        <f>IF(L39="","",IFERROR(L39+M39+N39,0))</f>
        <v/>
      </c>
      <c r="P39" s="25">
        <f>IF(A39="","",IFERROR(IF(E39="Encaissement",O39,0),0))</f>
        <v/>
      </c>
      <c r="Q39" s="25">
        <f>IF(A39="","",IFERROR(IF(E39="Décaissement",O39,0),0))</f>
        <v/>
      </c>
      <c r="R39" s="24" t="n"/>
      <c r="S39" s="25">
        <f>IF(R39="","",IFERROR(R39-O39,""))</f>
        <v/>
      </c>
      <c r="T39" s="20" t="n"/>
      <c r="U39" s="23" t="n"/>
      <c r="W39" s="26">
        <f>IF('Paramètres'!$B$8="","",IF(DATE(YEAR('Paramètres'!$B$8),MONTH('Paramètres'!$B$8)+35,1)&gt;'Paramètres'!$B$9,"",DATE(YEAR('Paramètres'!$B$8),MONTH('Paramètres'!$B$8)+35,1)))</f>
        <v/>
      </c>
      <c r="X39" s="27">
        <f>IF($W39="","",IFERROR($AB38,0))</f>
        <v/>
      </c>
      <c r="Y39" s="27">
        <f>IF($W39="","",IFERROR(SUMIFS($P$2:$P$101,$D$2:$D$101,TEXT($W39,"yyyy-mm"),$I$2:$I$101,"&lt;&gt;Annulé"),0))</f>
        <v/>
      </c>
      <c r="Z39" s="27">
        <f>IF($W39="","",IFERROR(SUMIFS($Q$2:$Q$101,$D$2:$D$101,TEXT($W39,"yyyy-mm"),$I$2:$I$101,"&lt;&gt;Annulé"),0))</f>
        <v/>
      </c>
      <c r="AA39" s="27">
        <f>IF($W39="","",IFERROR($Y39-$Z39,0))</f>
        <v/>
      </c>
      <c r="AB39" s="27">
        <f>IF($W39="","",IFERROR($X39+$AA39,0))</f>
        <v/>
      </c>
      <c r="AC39" s="27">
        <f>IF($W39="","",IFERROR('Paramètres'!$B$11,0))</f>
        <v/>
      </c>
      <c r="AD39" s="27">
        <f>IF($W39="","",IFERROR($AB39-$AC39,0))</f>
        <v/>
      </c>
      <c r="AE39" s="28">
        <f>IF($W39="","",IFERROR(IF($AB39&lt;$AC39,"À surveiller","OK"),"À vérifier"))</f>
        <v/>
      </c>
      <c r="AF39" s="27">
        <f>IF($W39="","",IFERROR(SUMIFS($R$2:$R$101,$D$2:$D$101,TEXT($W39,"yyyy-mm"),$E$2:$E$101,"Encaissement",$I$2:$I$101,"Réalisé"),0))</f>
        <v/>
      </c>
      <c r="AG39" s="27">
        <f>IF($W39="","",IFERROR(SUMIFS($R$2:$R$101,$D$2:$D$101,TEXT($W39,"yyyy-mm"),$E$2:$E$101,"Décaissement",$I$2:$I$101,"Réalisé"),0))</f>
        <v/>
      </c>
    </row>
    <row r="40">
      <c r="A40" s="20" t="n"/>
      <c r="B40" s="21" t="n"/>
      <c r="C40" s="21" t="n"/>
      <c r="D40" s="22">
        <f>IF(B40="","",IFERROR(TEXT(B40,"yyyy-mm"),""))</f>
        <v/>
      </c>
      <c r="E40" s="20" t="n"/>
      <c r="F40" s="20" t="n"/>
      <c r="G40" s="23" t="n"/>
      <c r="H40" s="23" t="n"/>
      <c r="I40" s="20" t="n"/>
      <c r="J40" s="20" t="n"/>
      <c r="K40" s="20" t="n"/>
      <c r="L40" s="24" t="n"/>
      <c r="M40" s="25">
        <f>IF(L40="","",IFERROR(IF(AND(J40="Oui",'Paramètres'!$B$16="Oui"),L40*'Paramètres'!$B$14,0),0))</f>
        <v/>
      </c>
      <c r="N40" s="25">
        <f>IF(L40="","",IFERROR(IF(AND(K40="Oui",'Paramètres'!$B$16="Oui"),L40*'Paramètres'!$B$15,0),0))</f>
        <v/>
      </c>
      <c r="O40" s="25">
        <f>IF(L40="","",IFERROR(L40+M40+N40,0))</f>
        <v/>
      </c>
      <c r="P40" s="25">
        <f>IF(A40="","",IFERROR(IF(E40="Encaissement",O40,0),0))</f>
        <v/>
      </c>
      <c r="Q40" s="25">
        <f>IF(A40="","",IFERROR(IF(E40="Décaissement",O40,0),0))</f>
        <v/>
      </c>
      <c r="R40" s="24" t="n"/>
      <c r="S40" s="25">
        <f>IF(R40="","",IFERROR(R40-O40,""))</f>
        <v/>
      </c>
      <c r="T40" s="20" t="n"/>
      <c r="U40" s="23" t="n"/>
      <c r="W40" s="26">
        <f>IF('Paramètres'!$B$8="","",IF(DATE(YEAR('Paramètres'!$B$8),MONTH('Paramètres'!$B$8)+36,1)&gt;'Paramètres'!$B$9,"",DATE(YEAR('Paramètres'!$B$8),MONTH('Paramètres'!$B$8)+36,1)))</f>
        <v/>
      </c>
      <c r="X40" s="27">
        <f>IF($W40="","",IFERROR($AB39,0))</f>
        <v/>
      </c>
      <c r="Y40" s="27">
        <f>IF($W40="","",IFERROR(SUMIFS($P$2:$P$101,$D$2:$D$101,TEXT($W40,"yyyy-mm"),$I$2:$I$101,"&lt;&gt;Annulé"),0))</f>
        <v/>
      </c>
      <c r="Z40" s="27">
        <f>IF($W40="","",IFERROR(SUMIFS($Q$2:$Q$101,$D$2:$D$101,TEXT($W40,"yyyy-mm"),$I$2:$I$101,"&lt;&gt;Annulé"),0))</f>
        <v/>
      </c>
      <c r="AA40" s="27">
        <f>IF($W40="","",IFERROR($Y40-$Z40,0))</f>
        <v/>
      </c>
      <c r="AB40" s="27">
        <f>IF($W40="","",IFERROR($X40+$AA40,0))</f>
        <v/>
      </c>
      <c r="AC40" s="27">
        <f>IF($W40="","",IFERROR('Paramètres'!$B$11,0))</f>
        <v/>
      </c>
      <c r="AD40" s="27">
        <f>IF($W40="","",IFERROR($AB40-$AC40,0))</f>
        <v/>
      </c>
      <c r="AE40" s="28">
        <f>IF($W40="","",IFERROR(IF($AB40&lt;$AC40,"À surveiller","OK"),"À vérifier"))</f>
        <v/>
      </c>
      <c r="AF40" s="27">
        <f>IF($W40="","",IFERROR(SUMIFS($R$2:$R$101,$D$2:$D$101,TEXT($W40,"yyyy-mm"),$E$2:$E$101,"Encaissement",$I$2:$I$101,"Réalisé"),0))</f>
        <v/>
      </c>
      <c r="AG40" s="27">
        <f>IF($W40="","",IFERROR(SUMIFS($R$2:$R$101,$D$2:$D$101,TEXT($W40,"yyyy-mm"),$E$2:$E$101,"Décaissement",$I$2:$I$101,"Réalisé"),0))</f>
        <v/>
      </c>
    </row>
    <row r="41">
      <c r="A41" s="20" t="n"/>
      <c r="B41" s="21" t="n"/>
      <c r="C41" s="21" t="n"/>
      <c r="D41" s="22">
        <f>IF(B41="","",IFERROR(TEXT(B41,"yyyy-mm"),""))</f>
        <v/>
      </c>
      <c r="E41" s="20" t="n"/>
      <c r="F41" s="20" t="n"/>
      <c r="G41" s="23" t="n"/>
      <c r="H41" s="23" t="n"/>
      <c r="I41" s="20" t="n"/>
      <c r="J41" s="20" t="n"/>
      <c r="K41" s="20" t="n"/>
      <c r="L41" s="24" t="n"/>
      <c r="M41" s="25">
        <f>IF(L41="","",IFERROR(IF(AND(J41="Oui",'Paramètres'!$B$16="Oui"),L41*'Paramètres'!$B$14,0),0))</f>
        <v/>
      </c>
      <c r="N41" s="25">
        <f>IF(L41="","",IFERROR(IF(AND(K41="Oui",'Paramètres'!$B$16="Oui"),L41*'Paramètres'!$B$15,0),0))</f>
        <v/>
      </c>
      <c r="O41" s="25">
        <f>IF(L41="","",IFERROR(L41+M41+N41,0))</f>
        <v/>
      </c>
      <c r="P41" s="25">
        <f>IF(A41="","",IFERROR(IF(E41="Encaissement",O41,0),0))</f>
        <v/>
      </c>
      <c r="Q41" s="25">
        <f>IF(A41="","",IFERROR(IF(E41="Décaissement",O41,0),0))</f>
        <v/>
      </c>
      <c r="R41" s="24" t="n"/>
      <c r="S41" s="25">
        <f>IF(R41="","",IFERROR(R41-O41,""))</f>
        <v/>
      </c>
      <c r="T41" s="20" t="n"/>
      <c r="U41" s="23" t="n"/>
      <c r="W41" s="26">
        <f>IF('Paramètres'!$B$8="","",IF(DATE(YEAR('Paramètres'!$B$8),MONTH('Paramètres'!$B$8)+37,1)&gt;'Paramètres'!$B$9,"",DATE(YEAR('Paramètres'!$B$8),MONTH('Paramètres'!$B$8)+37,1)))</f>
        <v/>
      </c>
      <c r="X41" s="27">
        <f>IF($W41="","",IFERROR($AB40,0))</f>
        <v/>
      </c>
      <c r="Y41" s="27">
        <f>IF($W41="","",IFERROR(SUMIFS($P$2:$P$101,$D$2:$D$101,TEXT($W41,"yyyy-mm"),$I$2:$I$101,"&lt;&gt;Annulé"),0))</f>
        <v/>
      </c>
      <c r="Z41" s="27">
        <f>IF($W41="","",IFERROR(SUMIFS($Q$2:$Q$101,$D$2:$D$101,TEXT($W41,"yyyy-mm"),$I$2:$I$101,"&lt;&gt;Annulé"),0))</f>
        <v/>
      </c>
      <c r="AA41" s="27">
        <f>IF($W41="","",IFERROR($Y41-$Z41,0))</f>
        <v/>
      </c>
      <c r="AB41" s="27">
        <f>IF($W41="","",IFERROR($X41+$AA41,0))</f>
        <v/>
      </c>
      <c r="AC41" s="27">
        <f>IF($W41="","",IFERROR('Paramètres'!$B$11,0))</f>
        <v/>
      </c>
      <c r="AD41" s="27">
        <f>IF($W41="","",IFERROR($AB41-$AC41,0))</f>
        <v/>
      </c>
      <c r="AE41" s="28">
        <f>IF($W41="","",IFERROR(IF($AB41&lt;$AC41,"À surveiller","OK"),"À vérifier"))</f>
        <v/>
      </c>
      <c r="AF41" s="27">
        <f>IF($W41="","",IFERROR(SUMIFS($R$2:$R$101,$D$2:$D$101,TEXT($W41,"yyyy-mm"),$E$2:$E$101,"Encaissement",$I$2:$I$101,"Réalisé"),0))</f>
        <v/>
      </c>
      <c r="AG41" s="27">
        <f>IF($W41="","",IFERROR(SUMIFS($R$2:$R$101,$D$2:$D$101,TEXT($W41,"yyyy-mm"),$E$2:$E$101,"Décaissement",$I$2:$I$101,"Réalisé"),0))</f>
        <v/>
      </c>
    </row>
    <row r="42">
      <c r="A42" s="20" t="n"/>
      <c r="B42" s="21" t="n"/>
      <c r="C42" s="21" t="n"/>
      <c r="D42" s="22">
        <f>IF(B42="","",IFERROR(TEXT(B42,"yyyy-mm"),""))</f>
        <v/>
      </c>
      <c r="E42" s="20" t="n"/>
      <c r="F42" s="20" t="n"/>
      <c r="G42" s="23" t="n"/>
      <c r="H42" s="23" t="n"/>
      <c r="I42" s="20" t="n"/>
      <c r="J42" s="20" t="n"/>
      <c r="K42" s="20" t="n"/>
      <c r="L42" s="24" t="n"/>
      <c r="M42" s="25">
        <f>IF(L42="","",IFERROR(IF(AND(J42="Oui",'Paramètres'!$B$16="Oui"),L42*'Paramètres'!$B$14,0),0))</f>
        <v/>
      </c>
      <c r="N42" s="25">
        <f>IF(L42="","",IFERROR(IF(AND(K42="Oui",'Paramètres'!$B$16="Oui"),L42*'Paramètres'!$B$15,0),0))</f>
        <v/>
      </c>
      <c r="O42" s="25">
        <f>IF(L42="","",IFERROR(L42+M42+N42,0))</f>
        <v/>
      </c>
      <c r="P42" s="25">
        <f>IF(A42="","",IFERROR(IF(E42="Encaissement",O42,0),0))</f>
        <v/>
      </c>
      <c r="Q42" s="25">
        <f>IF(A42="","",IFERROR(IF(E42="Décaissement",O42,0),0))</f>
        <v/>
      </c>
      <c r="R42" s="24" t="n"/>
      <c r="S42" s="25">
        <f>IF(R42="","",IFERROR(R42-O42,""))</f>
        <v/>
      </c>
      <c r="T42" s="20" t="n"/>
      <c r="U42" s="23" t="n"/>
      <c r="W42" s="26">
        <f>IF('Paramètres'!$B$8="","",IF(DATE(YEAR('Paramètres'!$B$8),MONTH('Paramètres'!$B$8)+38,1)&gt;'Paramètres'!$B$9,"",DATE(YEAR('Paramètres'!$B$8),MONTH('Paramètres'!$B$8)+38,1)))</f>
        <v/>
      </c>
      <c r="X42" s="27">
        <f>IF($W42="","",IFERROR($AB41,0))</f>
        <v/>
      </c>
      <c r="Y42" s="27">
        <f>IF($W42="","",IFERROR(SUMIFS($P$2:$P$101,$D$2:$D$101,TEXT($W42,"yyyy-mm"),$I$2:$I$101,"&lt;&gt;Annulé"),0))</f>
        <v/>
      </c>
      <c r="Z42" s="27">
        <f>IF($W42="","",IFERROR(SUMIFS($Q$2:$Q$101,$D$2:$D$101,TEXT($W42,"yyyy-mm"),$I$2:$I$101,"&lt;&gt;Annulé"),0))</f>
        <v/>
      </c>
      <c r="AA42" s="27">
        <f>IF($W42="","",IFERROR($Y42-$Z42,0))</f>
        <v/>
      </c>
      <c r="AB42" s="27">
        <f>IF($W42="","",IFERROR($X42+$AA42,0))</f>
        <v/>
      </c>
      <c r="AC42" s="27">
        <f>IF($W42="","",IFERROR('Paramètres'!$B$11,0))</f>
        <v/>
      </c>
      <c r="AD42" s="27">
        <f>IF($W42="","",IFERROR($AB42-$AC42,0))</f>
        <v/>
      </c>
      <c r="AE42" s="28">
        <f>IF($W42="","",IFERROR(IF($AB42&lt;$AC42,"À surveiller","OK"),"À vérifier"))</f>
        <v/>
      </c>
      <c r="AF42" s="27">
        <f>IF($W42="","",IFERROR(SUMIFS($R$2:$R$101,$D$2:$D$101,TEXT($W42,"yyyy-mm"),$E$2:$E$101,"Encaissement",$I$2:$I$101,"Réalisé"),0))</f>
        <v/>
      </c>
      <c r="AG42" s="27">
        <f>IF($W42="","",IFERROR(SUMIFS($R$2:$R$101,$D$2:$D$101,TEXT($W42,"yyyy-mm"),$E$2:$E$101,"Décaissement",$I$2:$I$101,"Réalisé"),0))</f>
        <v/>
      </c>
    </row>
    <row r="43">
      <c r="A43" s="20" t="n"/>
      <c r="B43" s="21" t="n"/>
      <c r="C43" s="21" t="n"/>
      <c r="D43" s="22">
        <f>IF(B43="","",IFERROR(TEXT(B43,"yyyy-mm"),""))</f>
        <v/>
      </c>
      <c r="E43" s="20" t="n"/>
      <c r="F43" s="20" t="n"/>
      <c r="G43" s="23" t="n"/>
      <c r="H43" s="23" t="n"/>
      <c r="I43" s="20" t="n"/>
      <c r="J43" s="20" t="n"/>
      <c r="K43" s="20" t="n"/>
      <c r="L43" s="24" t="n"/>
      <c r="M43" s="25">
        <f>IF(L43="","",IFERROR(IF(AND(J43="Oui",'Paramètres'!$B$16="Oui"),L43*'Paramètres'!$B$14,0),0))</f>
        <v/>
      </c>
      <c r="N43" s="25">
        <f>IF(L43="","",IFERROR(IF(AND(K43="Oui",'Paramètres'!$B$16="Oui"),L43*'Paramètres'!$B$15,0),0))</f>
        <v/>
      </c>
      <c r="O43" s="25">
        <f>IF(L43="","",IFERROR(L43+M43+N43,0))</f>
        <v/>
      </c>
      <c r="P43" s="25">
        <f>IF(A43="","",IFERROR(IF(E43="Encaissement",O43,0),0))</f>
        <v/>
      </c>
      <c r="Q43" s="25">
        <f>IF(A43="","",IFERROR(IF(E43="Décaissement",O43,0),0))</f>
        <v/>
      </c>
      <c r="R43" s="24" t="n"/>
      <c r="S43" s="25">
        <f>IF(R43="","",IFERROR(R43-O43,""))</f>
        <v/>
      </c>
      <c r="T43" s="20" t="n"/>
      <c r="U43" s="23" t="n"/>
      <c r="W43" s="26">
        <f>IF('Paramètres'!$B$8="","",IF(DATE(YEAR('Paramètres'!$B$8),MONTH('Paramètres'!$B$8)+39,1)&gt;'Paramètres'!$B$9,"",DATE(YEAR('Paramètres'!$B$8),MONTH('Paramètres'!$B$8)+39,1)))</f>
        <v/>
      </c>
      <c r="X43" s="27">
        <f>IF($W43="","",IFERROR($AB42,0))</f>
        <v/>
      </c>
      <c r="Y43" s="27">
        <f>IF($W43="","",IFERROR(SUMIFS($P$2:$P$101,$D$2:$D$101,TEXT($W43,"yyyy-mm"),$I$2:$I$101,"&lt;&gt;Annulé"),0))</f>
        <v/>
      </c>
      <c r="Z43" s="27">
        <f>IF($W43="","",IFERROR(SUMIFS($Q$2:$Q$101,$D$2:$D$101,TEXT($W43,"yyyy-mm"),$I$2:$I$101,"&lt;&gt;Annulé"),0))</f>
        <v/>
      </c>
      <c r="AA43" s="27">
        <f>IF($W43="","",IFERROR($Y43-$Z43,0))</f>
        <v/>
      </c>
      <c r="AB43" s="27">
        <f>IF($W43="","",IFERROR($X43+$AA43,0))</f>
        <v/>
      </c>
      <c r="AC43" s="27">
        <f>IF($W43="","",IFERROR('Paramètres'!$B$11,0))</f>
        <v/>
      </c>
      <c r="AD43" s="27">
        <f>IF($W43="","",IFERROR($AB43-$AC43,0))</f>
        <v/>
      </c>
      <c r="AE43" s="28">
        <f>IF($W43="","",IFERROR(IF($AB43&lt;$AC43,"À surveiller","OK"),"À vérifier"))</f>
        <v/>
      </c>
      <c r="AF43" s="27">
        <f>IF($W43="","",IFERROR(SUMIFS($R$2:$R$101,$D$2:$D$101,TEXT($W43,"yyyy-mm"),$E$2:$E$101,"Encaissement",$I$2:$I$101,"Réalisé"),0))</f>
        <v/>
      </c>
      <c r="AG43" s="27">
        <f>IF($W43="","",IFERROR(SUMIFS($R$2:$R$101,$D$2:$D$101,TEXT($W43,"yyyy-mm"),$E$2:$E$101,"Décaissement",$I$2:$I$101,"Réalisé"),0))</f>
        <v/>
      </c>
    </row>
    <row r="44">
      <c r="A44" s="20" t="n"/>
      <c r="B44" s="21" t="n"/>
      <c r="C44" s="21" t="n"/>
      <c r="D44" s="22">
        <f>IF(B44="","",IFERROR(TEXT(B44,"yyyy-mm"),""))</f>
        <v/>
      </c>
      <c r="E44" s="20" t="n"/>
      <c r="F44" s="20" t="n"/>
      <c r="G44" s="23" t="n"/>
      <c r="H44" s="23" t="n"/>
      <c r="I44" s="20" t="n"/>
      <c r="J44" s="20" t="n"/>
      <c r="K44" s="20" t="n"/>
      <c r="L44" s="24" t="n"/>
      <c r="M44" s="25">
        <f>IF(L44="","",IFERROR(IF(AND(J44="Oui",'Paramètres'!$B$16="Oui"),L44*'Paramètres'!$B$14,0),0))</f>
        <v/>
      </c>
      <c r="N44" s="25">
        <f>IF(L44="","",IFERROR(IF(AND(K44="Oui",'Paramètres'!$B$16="Oui"),L44*'Paramètres'!$B$15,0),0))</f>
        <v/>
      </c>
      <c r="O44" s="25">
        <f>IF(L44="","",IFERROR(L44+M44+N44,0))</f>
        <v/>
      </c>
      <c r="P44" s="25">
        <f>IF(A44="","",IFERROR(IF(E44="Encaissement",O44,0),0))</f>
        <v/>
      </c>
      <c r="Q44" s="25">
        <f>IF(A44="","",IFERROR(IF(E44="Décaissement",O44,0),0))</f>
        <v/>
      </c>
      <c r="R44" s="24" t="n"/>
      <c r="S44" s="25">
        <f>IF(R44="","",IFERROR(R44-O44,""))</f>
        <v/>
      </c>
      <c r="T44" s="20" t="n"/>
      <c r="U44" s="23" t="n"/>
      <c r="W44" s="26">
        <f>IF('Paramètres'!$B$8="","",IF(DATE(YEAR('Paramètres'!$B$8),MONTH('Paramètres'!$B$8)+40,1)&gt;'Paramètres'!$B$9,"",DATE(YEAR('Paramètres'!$B$8),MONTH('Paramètres'!$B$8)+40,1)))</f>
        <v/>
      </c>
      <c r="X44" s="27">
        <f>IF($W44="","",IFERROR($AB43,0))</f>
        <v/>
      </c>
      <c r="Y44" s="27">
        <f>IF($W44="","",IFERROR(SUMIFS($P$2:$P$101,$D$2:$D$101,TEXT($W44,"yyyy-mm"),$I$2:$I$101,"&lt;&gt;Annulé"),0))</f>
        <v/>
      </c>
      <c r="Z44" s="27">
        <f>IF($W44="","",IFERROR(SUMIFS($Q$2:$Q$101,$D$2:$D$101,TEXT($W44,"yyyy-mm"),$I$2:$I$101,"&lt;&gt;Annulé"),0))</f>
        <v/>
      </c>
      <c r="AA44" s="27">
        <f>IF($W44="","",IFERROR($Y44-$Z44,0))</f>
        <v/>
      </c>
      <c r="AB44" s="27">
        <f>IF($W44="","",IFERROR($X44+$AA44,0))</f>
        <v/>
      </c>
      <c r="AC44" s="27">
        <f>IF($W44="","",IFERROR('Paramètres'!$B$11,0))</f>
        <v/>
      </c>
      <c r="AD44" s="27">
        <f>IF($W44="","",IFERROR($AB44-$AC44,0))</f>
        <v/>
      </c>
      <c r="AE44" s="28">
        <f>IF($W44="","",IFERROR(IF($AB44&lt;$AC44,"À surveiller","OK"),"À vérifier"))</f>
        <v/>
      </c>
      <c r="AF44" s="27">
        <f>IF($W44="","",IFERROR(SUMIFS($R$2:$R$101,$D$2:$D$101,TEXT($W44,"yyyy-mm"),$E$2:$E$101,"Encaissement",$I$2:$I$101,"Réalisé"),0))</f>
        <v/>
      </c>
      <c r="AG44" s="27">
        <f>IF($W44="","",IFERROR(SUMIFS($R$2:$R$101,$D$2:$D$101,TEXT($W44,"yyyy-mm"),$E$2:$E$101,"Décaissement",$I$2:$I$101,"Réalisé"),0))</f>
        <v/>
      </c>
    </row>
    <row r="45">
      <c r="A45" s="20" t="n"/>
      <c r="B45" s="21" t="n"/>
      <c r="C45" s="21" t="n"/>
      <c r="D45" s="22">
        <f>IF(B45="","",IFERROR(TEXT(B45,"yyyy-mm"),""))</f>
        <v/>
      </c>
      <c r="E45" s="20" t="n"/>
      <c r="F45" s="20" t="n"/>
      <c r="G45" s="23" t="n"/>
      <c r="H45" s="23" t="n"/>
      <c r="I45" s="20" t="n"/>
      <c r="J45" s="20" t="n"/>
      <c r="K45" s="20" t="n"/>
      <c r="L45" s="24" t="n"/>
      <c r="M45" s="25">
        <f>IF(L45="","",IFERROR(IF(AND(J45="Oui",'Paramètres'!$B$16="Oui"),L45*'Paramètres'!$B$14,0),0))</f>
        <v/>
      </c>
      <c r="N45" s="25">
        <f>IF(L45="","",IFERROR(IF(AND(K45="Oui",'Paramètres'!$B$16="Oui"),L45*'Paramètres'!$B$15,0),0))</f>
        <v/>
      </c>
      <c r="O45" s="25">
        <f>IF(L45="","",IFERROR(L45+M45+N45,0))</f>
        <v/>
      </c>
      <c r="P45" s="25">
        <f>IF(A45="","",IFERROR(IF(E45="Encaissement",O45,0),0))</f>
        <v/>
      </c>
      <c r="Q45" s="25">
        <f>IF(A45="","",IFERROR(IF(E45="Décaissement",O45,0),0))</f>
        <v/>
      </c>
      <c r="R45" s="24" t="n"/>
      <c r="S45" s="25">
        <f>IF(R45="","",IFERROR(R45-O45,""))</f>
        <v/>
      </c>
      <c r="T45" s="20" t="n"/>
      <c r="U45" s="23" t="n"/>
      <c r="W45" s="26">
        <f>IF('Paramètres'!$B$8="","",IF(DATE(YEAR('Paramètres'!$B$8),MONTH('Paramètres'!$B$8)+41,1)&gt;'Paramètres'!$B$9,"",DATE(YEAR('Paramètres'!$B$8),MONTH('Paramètres'!$B$8)+41,1)))</f>
        <v/>
      </c>
      <c r="X45" s="27">
        <f>IF($W45="","",IFERROR($AB44,0))</f>
        <v/>
      </c>
      <c r="Y45" s="27">
        <f>IF($W45="","",IFERROR(SUMIFS($P$2:$P$101,$D$2:$D$101,TEXT($W45,"yyyy-mm"),$I$2:$I$101,"&lt;&gt;Annulé"),0))</f>
        <v/>
      </c>
      <c r="Z45" s="27">
        <f>IF($W45="","",IFERROR(SUMIFS($Q$2:$Q$101,$D$2:$D$101,TEXT($W45,"yyyy-mm"),$I$2:$I$101,"&lt;&gt;Annulé"),0))</f>
        <v/>
      </c>
      <c r="AA45" s="27">
        <f>IF($W45="","",IFERROR($Y45-$Z45,0))</f>
        <v/>
      </c>
      <c r="AB45" s="27">
        <f>IF($W45="","",IFERROR($X45+$AA45,0))</f>
        <v/>
      </c>
      <c r="AC45" s="27">
        <f>IF($W45="","",IFERROR('Paramètres'!$B$11,0))</f>
        <v/>
      </c>
      <c r="AD45" s="27">
        <f>IF($W45="","",IFERROR($AB45-$AC45,0))</f>
        <v/>
      </c>
      <c r="AE45" s="28">
        <f>IF($W45="","",IFERROR(IF($AB45&lt;$AC45,"À surveiller","OK"),"À vérifier"))</f>
        <v/>
      </c>
      <c r="AF45" s="27">
        <f>IF($W45="","",IFERROR(SUMIFS($R$2:$R$101,$D$2:$D$101,TEXT($W45,"yyyy-mm"),$E$2:$E$101,"Encaissement",$I$2:$I$101,"Réalisé"),0))</f>
        <v/>
      </c>
      <c r="AG45" s="27">
        <f>IF($W45="","",IFERROR(SUMIFS($R$2:$R$101,$D$2:$D$101,TEXT($W45,"yyyy-mm"),$E$2:$E$101,"Décaissement",$I$2:$I$101,"Réalisé"),0))</f>
        <v/>
      </c>
    </row>
    <row r="46">
      <c r="A46" s="20" t="n"/>
      <c r="B46" s="21" t="n"/>
      <c r="C46" s="21" t="n"/>
      <c r="D46" s="22">
        <f>IF(B46="","",IFERROR(TEXT(B46,"yyyy-mm"),""))</f>
        <v/>
      </c>
      <c r="E46" s="20" t="n"/>
      <c r="F46" s="20" t="n"/>
      <c r="G46" s="23" t="n"/>
      <c r="H46" s="23" t="n"/>
      <c r="I46" s="20" t="n"/>
      <c r="J46" s="20" t="n"/>
      <c r="K46" s="20" t="n"/>
      <c r="L46" s="24" t="n"/>
      <c r="M46" s="25">
        <f>IF(L46="","",IFERROR(IF(AND(J46="Oui",'Paramètres'!$B$16="Oui"),L46*'Paramètres'!$B$14,0),0))</f>
        <v/>
      </c>
      <c r="N46" s="25">
        <f>IF(L46="","",IFERROR(IF(AND(K46="Oui",'Paramètres'!$B$16="Oui"),L46*'Paramètres'!$B$15,0),0))</f>
        <v/>
      </c>
      <c r="O46" s="25">
        <f>IF(L46="","",IFERROR(L46+M46+N46,0))</f>
        <v/>
      </c>
      <c r="P46" s="25">
        <f>IF(A46="","",IFERROR(IF(E46="Encaissement",O46,0),0))</f>
        <v/>
      </c>
      <c r="Q46" s="25">
        <f>IF(A46="","",IFERROR(IF(E46="Décaissement",O46,0),0))</f>
        <v/>
      </c>
      <c r="R46" s="24" t="n"/>
      <c r="S46" s="25">
        <f>IF(R46="","",IFERROR(R46-O46,""))</f>
        <v/>
      </c>
      <c r="T46" s="20" t="n"/>
      <c r="U46" s="23" t="n"/>
      <c r="W46" s="26">
        <f>IF('Paramètres'!$B$8="","",IF(DATE(YEAR('Paramètres'!$B$8),MONTH('Paramètres'!$B$8)+42,1)&gt;'Paramètres'!$B$9,"",DATE(YEAR('Paramètres'!$B$8),MONTH('Paramètres'!$B$8)+42,1)))</f>
        <v/>
      </c>
      <c r="X46" s="27">
        <f>IF($W46="","",IFERROR($AB45,0))</f>
        <v/>
      </c>
      <c r="Y46" s="27">
        <f>IF($W46="","",IFERROR(SUMIFS($P$2:$P$101,$D$2:$D$101,TEXT($W46,"yyyy-mm"),$I$2:$I$101,"&lt;&gt;Annulé"),0))</f>
        <v/>
      </c>
      <c r="Z46" s="27">
        <f>IF($W46="","",IFERROR(SUMIFS($Q$2:$Q$101,$D$2:$D$101,TEXT($W46,"yyyy-mm"),$I$2:$I$101,"&lt;&gt;Annulé"),0))</f>
        <v/>
      </c>
      <c r="AA46" s="27">
        <f>IF($W46="","",IFERROR($Y46-$Z46,0))</f>
        <v/>
      </c>
      <c r="AB46" s="27">
        <f>IF($W46="","",IFERROR($X46+$AA46,0))</f>
        <v/>
      </c>
      <c r="AC46" s="27">
        <f>IF($W46="","",IFERROR('Paramètres'!$B$11,0))</f>
        <v/>
      </c>
      <c r="AD46" s="27">
        <f>IF($W46="","",IFERROR($AB46-$AC46,0))</f>
        <v/>
      </c>
      <c r="AE46" s="28">
        <f>IF($W46="","",IFERROR(IF($AB46&lt;$AC46,"À surveiller","OK"),"À vérifier"))</f>
        <v/>
      </c>
      <c r="AF46" s="27">
        <f>IF($W46="","",IFERROR(SUMIFS($R$2:$R$101,$D$2:$D$101,TEXT($W46,"yyyy-mm"),$E$2:$E$101,"Encaissement",$I$2:$I$101,"Réalisé"),0))</f>
        <v/>
      </c>
      <c r="AG46" s="27">
        <f>IF($W46="","",IFERROR(SUMIFS($R$2:$R$101,$D$2:$D$101,TEXT($W46,"yyyy-mm"),$E$2:$E$101,"Décaissement",$I$2:$I$101,"Réalisé"),0))</f>
        <v/>
      </c>
    </row>
    <row r="47">
      <c r="A47" s="20" t="n"/>
      <c r="B47" s="21" t="n"/>
      <c r="C47" s="21" t="n"/>
      <c r="D47" s="22">
        <f>IF(B47="","",IFERROR(TEXT(B47,"yyyy-mm"),""))</f>
        <v/>
      </c>
      <c r="E47" s="20" t="n"/>
      <c r="F47" s="20" t="n"/>
      <c r="G47" s="23" t="n"/>
      <c r="H47" s="23" t="n"/>
      <c r="I47" s="20" t="n"/>
      <c r="J47" s="20" t="n"/>
      <c r="K47" s="20" t="n"/>
      <c r="L47" s="24" t="n"/>
      <c r="M47" s="25">
        <f>IF(L47="","",IFERROR(IF(AND(J47="Oui",'Paramètres'!$B$16="Oui"),L47*'Paramètres'!$B$14,0),0))</f>
        <v/>
      </c>
      <c r="N47" s="25">
        <f>IF(L47="","",IFERROR(IF(AND(K47="Oui",'Paramètres'!$B$16="Oui"),L47*'Paramètres'!$B$15,0),0))</f>
        <v/>
      </c>
      <c r="O47" s="25">
        <f>IF(L47="","",IFERROR(L47+M47+N47,0))</f>
        <v/>
      </c>
      <c r="P47" s="25">
        <f>IF(A47="","",IFERROR(IF(E47="Encaissement",O47,0),0))</f>
        <v/>
      </c>
      <c r="Q47" s="25">
        <f>IF(A47="","",IFERROR(IF(E47="Décaissement",O47,0),0))</f>
        <v/>
      </c>
      <c r="R47" s="24" t="n"/>
      <c r="S47" s="25">
        <f>IF(R47="","",IFERROR(R47-O47,""))</f>
        <v/>
      </c>
      <c r="T47" s="20" t="n"/>
      <c r="U47" s="23" t="n"/>
      <c r="W47" s="26">
        <f>IF('Paramètres'!$B$8="","",IF(DATE(YEAR('Paramètres'!$B$8),MONTH('Paramètres'!$B$8)+43,1)&gt;'Paramètres'!$B$9,"",DATE(YEAR('Paramètres'!$B$8),MONTH('Paramètres'!$B$8)+43,1)))</f>
        <v/>
      </c>
      <c r="X47" s="27">
        <f>IF($W47="","",IFERROR($AB46,0))</f>
        <v/>
      </c>
      <c r="Y47" s="27">
        <f>IF($W47="","",IFERROR(SUMIFS($P$2:$P$101,$D$2:$D$101,TEXT($W47,"yyyy-mm"),$I$2:$I$101,"&lt;&gt;Annulé"),0))</f>
        <v/>
      </c>
      <c r="Z47" s="27">
        <f>IF($W47="","",IFERROR(SUMIFS($Q$2:$Q$101,$D$2:$D$101,TEXT($W47,"yyyy-mm"),$I$2:$I$101,"&lt;&gt;Annulé"),0))</f>
        <v/>
      </c>
      <c r="AA47" s="27">
        <f>IF($W47="","",IFERROR($Y47-$Z47,0))</f>
        <v/>
      </c>
      <c r="AB47" s="27">
        <f>IF($W47="","",IFERROR($X47+$AA47,0))</f>
        <v/>
      </c>
      <c r="AC47" s="27">
        <f>IF($W47="","",IFERROR('Paramètres'!$B$11,0))</f>
        <v/>
      </c>
      <c r="AD47" s="27">
        <f>IF($W47="","",IFERROR($AB47-$AC47,0))</f>
        <v/>
      </c>
      <c r="AE47" s="28">
        <f>IF($W47="","",IFERROR(IF($AB47&lt;$AC47,"À surveiller","OK"),"À vérifier"))</f>
        <v/>
      </c>
      <c r="AF47" s="27">
        <f>IF($W47="","",IFERROR(SUMIFS($R$2:$R$101,$D$2:$D$101,TEXT($W47,"yyyy-mm"),$E$2:$E$101,"Encaissement",$I$2:$I$101,"Réalisé"),0))</f>
        <v/>
      </c>
      <c r="AG47" s="27">
        <f>IF($W47="","",IFERROR(SUMIFS($R$2:$R$101,$D$2:$D$101,TEXT($W47,"yyyy-mm"),$E$2:$E$101,"Décaissement",$I$2:$I$101,"Réalisé"),0))</f>
        <v/>
      </c>
    </row>
    <row r="48">
      <c r="A48" s="20" t="n"/>
      <c r="B48" s="21" t="n"/>
      <c r="C48" s="21" t="n"/>
      <c r="D48" s="22">
        <f>IF(B48="","",IFERROR(TEXT(B48,"yyyy-mm"),""))</f>
        <v/>
      </c>
      <c r="E48" s="20" t="n"/>
      <c r="F48" s="20" t="n"/>
      <c r="G48" s="23" t="n"/>
      <c r="H48" s="23" t="n"/>
      <c r="I48" s="20" t="n"/>
      <c r="J48" s="20" t="n"/>
      <c r="K48" s="20" t="n"/>
      <c r="L48" s="24" t="n"/>
      <c r="M48" s="25">
        <f>IF(L48="","",IFERROR(IF(AND(J48="Oui",'Paramètres'!$B$16="Oui"),L48*'Paramètres'!$B$14,0),0))</f>
        <v/>
      </c>
      <c r="N48" s="25">
        <f>IF(L48="","",IFERROR(IF(AND(K48="Oui",'Paramètres'!$B$16="Oui"),L48*'Paramètres'!$B$15,0),0))</f>
        <v/>
      </c>
      <c r="O48" s="25">
        <f>IF(L48="","",IFERROR(L48+M48+N48,0))</f>
        <v/>
      </c>
      <c r="P48" s="25">
        <f>IF(A48="","",IFERROR(IF(E48="Encaissement",O48,0),0))</f>
        <v/>
      </c>
      <c r="Q48" s="25">
        <f>IF(A48="","",IFERROR(IF(E48="Décaissement",O48,0),0))</f>
        <v/>
      </c>
      <c r="R48" s="24" t="n"/>
      <c r="S48" s="25">
        <f>IF(R48="","",IFERROR(R48-O48,""))</f>
        <v/>
      </c>
      <c r="T48" s="20" t="n"/>
      <c r="U48" s="23" t="n"/>
      <c r="W48" s="26">
        <f>IF('Paramètres'!$B$8="","",IF(DATE(YEAR('Paramètres'!$B$8),MONTH('Paramètres'!$B$8)+44,1)&gt;'Paramètres'!$B$9,"",DATE(YEAR('Paramètres'!$B$8),MONTH('Paramètres'!$B$8)+44,1)))</f>
        <v/>
      </c>
      <c r="X48" s="27">
        <f>IF($W48="","",IFERROR($AB47,0))</f>
        <v/>
      </c>
      <c r="Y48" s="27">
        <f>IF($W48="","",IFERROR(SUMIFS($P$2:$P$101,$D$2:$D$101,TEXT($W48,"yyyy-mm"),$I$2:$I$101,"&lt;&gt;Annulé"),0))</f>
        <v/>
      </c>
      <c r="Z48" s="27">
        <f>IF($W48="","",IFERROR(SUMIFS($Q$2:$Q$101,$D$2:$D$101,TEXT($W48,"yyyy-mm"),$I$2:$I$101,"&lt;&gt;Annulé"),0))</f>
        <v/>
      </c>
      <c r="AA48" s="27">
        <f>IF($W48="","",IFERROR($Y48-$Z48,0))</f>
        <v/>
      </c>
      <c r="AB48" s="27">
        <f>IF($W48="","",IFERROR($X48+$AA48,0))</f>
        <v/>
      </c>
      <c r="AC48" s="27">
        <f>IF($W48="","",IFERROR('Paramètres'!$B$11,0))</f>
        <v/>
      </c>
      <c r="AD48" s="27">
        <f>IF($W48="","",IFERROR($AB48-$AC48,0))</f>
        <v/>
      </c>
      <c r="AE48" s="28">
        <f>IF($W48="","",IFERROR(IF($AB48&lt;$AC48,"À surveiller","OK"),"À vérifier"))</f>
        <v/>
      </c>
      <c r="AF48" s="27">
        <f>IF($W48="","",IFERROR(SUMIFS($R$2:$R$101,$D$2:$D$101,TEXT($W48,"yyyy-mm"),$E$2:$E$101,"Encaissement",$I$2:$I$101,"Réalisé"),0))</f>
        <v/>
      </c>
      <c r="AG48" s="27">
        <f>IF($W48="","",IFERROR(SUMIFS($R$2:$R$101,$D$2:$D$101,TEXT($W48,"yyyy-mm"),$E$2:$E$101,"Décaissement",$I$2:$I$101,"Réalisé"),0))</f>
        <v/>
      </c>
    </row>
    <row r="49">
      <c r="A49" s="20" t="n"/>
      <c r="B49" s="21" t="n"/>
      <c r="C49" s="21" t="n"/>
      <c r="D49" s="22">
        <f>IF(B49="","",IFERROR(TEXT(B49,"yyyy-mm"),""))</f>
        <v/>
      </c>
      <c r="E49" s="20" t="n"/>
      <c r="F49" s="20" t="n"/>
      <c r="G49" s="23" t="n"/>
      <c r="H49" s="23" t="n"/>
      <c r="I49" s="20" t="n"/>
      <c r="J49" s="20" t="n"/>
      <c r="K49" s="20" t="n"/>
      <c r="L49" s="24" t="n"/>
      <c r="M49" s="25">
        <f>IF(L49="","",IFERROR(IF(AND(J49="Oui",'Paramètres'!$B$16="Oui"),L49*'Paramètres'!$B$14,0),0))</f>
        <v/>
      </c>
      <c r="N49" s="25">
        <f>IF(L49="","",IFERROR(IF(AND(K49="Oui",'Paramètres'!$B$16="Oui"),L49*'Paramètres'!$B$15,0),0))</f>
        <v/>
      </c>
      <c r="O49" s="25">
        <f>IF(L49="","",IFERROR(L49+M49+N49,0))</f>
        <v/>
      </c>
      <c r="P49" s="25">
        <f>IF(A49="","",IFERROR(IF(E49="Encaissement",O49,0),0))</f>
        <v/>
      </c>
      <c r="Q49" s="25">
        <f>IF(A49="","",IFERROR(IF(E49="Décaissement",O49,0),0))</f>
        <v/>
      </c>
      <c r="R49" s="24" t="n"/>
      <c r="S49" s="25">
        <f>IF(R49="","",IFERROR(R49-O49,""))</f>
        <v/>
      </c>
      <c r="T49" s="20" t="n"/>
      <c r="U49" s="23" t="n"/>
      <c r="W49" s="26">
        <f>IF('Paramètres'!$B$8="","",IF(DATE(YEAR('Paramètres'!$B$8),MONTH('Paramètres'!$B$8)+45,1)&gt;'Paramètres'!$B$9,"",DATE(YEAR('Paramètres'!$B$8),MONTH('Paramètres'!$B$8)+45,1)))</f>
        <v/>
      </c>
      <c r="X49" s="27">
        <f>IF($W49="","",IFERROR($AB48,0))</f>
        <v/>
      </c>
      <c r="Y49" s="27">
        <f>IF($W49="","",IFERROR(SUMIFS($P$2:$P$101,$D$2:$D$101,TEXT($W49,"yyyy-mm"),$I$2:$I$101,"&lt;&gt;Annulé"),0))</f>
        <v/>
      </c>
      <c r="Z49" s="27">
        <f>IF($W49="","",IFERROR(SUMIFS($Q$2:$Q$101,$D$2:$D$101,TEXT($W49,"yyyy-mm"),$I$2:$I$101,"&lt;&gt;Annulé"),0))</f>
        <v/>
      </c>
      <c r="AA49" s="27">
        <f>IF($W49="","",IFERROR($Y49-$Z49,0))</f>
        <v/>
      </c>
      <c r="AB49" s="27">
        <f>IF($W49="","",IFERROR($X49+$AA49,0))</f>
        <v/>
      </c>
      <c r="AC49" s="27">
        <f>IF($W49="","",IFERROR('Paramètres'!$B$11,0))</f>
        <v/>
      </c>
      <c r="AD49" s="27">
        <f>IF($W49="","",IFERROR($AB49-$AC49,0))</f>
        <v/>
      </c>
      <c r="AE49" s="28">
        <f>IF($W49="","",IFERROR(IF($AB49&lt;$AC49,"À surveiller","OK"),"À vérifier"))</f>
        <v/>
      </c>
      <c r="AF49" s="27">
        <f>IF($W49="","",IFERROR(SUMIFS($R$2:$R$101,$D$2:$D$101,TEXT($W49,"yyyy-mm"),$E$2:$E$101,"Encaissement",$I$2:$I$101,"Réalisé"),0))</f>
        <v/>
      </c>
      <c r="AG49" s="27">
        <f>IF($W49="","",IFERROR(SUMIFS($R$2:$R$101,$D$2:$D$101,TEXT($W49,"yyyy-mm"),$E$2:$E$101,"Décaissement",$I$2:$I$101,"Réalisé"),0))</f>
        <v/>
      </c>
    </row>
    <row r="50">
      <c r="A50" s="20" t="n"/>
      <c r="B50" s="21" t="n"/>
      <c r="C50" s="21" t="n"/>
      <c r="D50" s="22">
        <f>IF(B50="","",IFERROR(TEXT(B50,"yyyy-mm"),""))</f>
        <v/>
      </c>
      <c r="E50" s="20" t="n"/>
      <c r="F50" s="20" t="n"/>
      <c r="G50" s="23" t="n"/>
      <c r="H50" s="23" t="n"/>
      <c r="I50" s="20" t="n"/>
      <c r="J50" s="20" t="n"/>
      <c r="K50" s="20" t="n"/>
      <c r="L50" s="24" t="n"/>
      <c r="M50" s="25">
        <f>IF(L50="","",IFERROR(IF(AND(J50="Oui",'Paramètres'!$B$16="Oui"),L50*'Paramètres'!$B$14,0),0))</f>
        <v/>
      </c>
      <c r="N50" s="25">
        <f>IF(L50="","",IFERROR(IF(AND(K50="Oui",'Paramètres'!$B$16="Oui"),L50*'Paramètres'!$B$15,0),0))</f>
        <v/>
      </c>
      <c r="O50" s="25">
        <f>IF(L50="","",IFERROR(L50+M50+N50,0))</f>
        <v/>
      </c>
      <c r="P50" s="25">
        <f>IF(A50="","",IFERROR(IF(E50="Encaissement",O50,0),0))</f>
        <v/>
      </c>
      <c r="Q50" s="25">
        <f>IF(A50="","",IFERROR(IF(E50="Décaissement",O50,0),0))</f>
        <v/>
      </c>
      <c r="R50" s="24" t="n"/>
      <c r="S50" s="25">
        <f>IF(R50="","",IFERROR(R50-O50,""))</f>
        <v/>
      </c>
      <c r="T50" s="20" t="n"/>
      <c r="U50" s="23" t="n"/>
      <c r="W50" s="26">
        <f>IF('Paramètres'!$B$8="","",IF(DATE(YEAR('Paramètres'!$B$8),MONTH('Paramètres'!$B$8)+46,1)&gt;'Paramètres'!$B$9,"",DATE(YEAR('Paramètres'!$B$8),MONTH('Paramètres'!$B$8)+46,1)))</f>
        <v/>
      </c>
      <c r="X50" s="27">
        <f>IF($W50="","",IFERROR($AB49,0))</f>
        <v/>
      </c>
      <c r="Y50" s="27">
        <f>IF($W50="","",IFERROR(SUMIFS($P$2:$P$101,$D$2:$D$101,TEXT($W50,"yyyy-mm"),$I$2:$I$101,"&lt;&gt;Annulé"),0))</f>
        <v/>
      </c>
      <c r="Z50" s="27">
        <f>IF($W50="","",IFERROR(SUMIFS($Q$2:$Q$101,$D$2:$D$101,TEXT($W50,"yyyy-mm"),$I$2:$I$101,"&lt;&gt;Annulé"),0))</f>
        <v/>
      </c>
      <c r="AA50" s="27">
        <f>IF($W50="","",IFERROR($Y50-$Z50,0))</f>
        <v/>
      </c>
      <c r="AB50" s="27">
        <f>IF($W50="","",IFERROR($X50+$AA50,0))</f>
        <v/>
      </c>
      <c r="AC50" s="27">
        <f>IF($W50="","",IFERROR('Paramètres'!$B$11,0))</f>
        <v/>
      </c>
      <c r="AD50" s="27">
        <f>IF($W50="","",IFERROR($AB50-$AC50,0))</f>
        <v/>
      </c>
      <c r="AE50" s="28">
        <f>IF($W50="","",IFERROR(IF($AB50&lt;$AC50,"À surveiller","OK"),"À vérifier"))</f>
        <v/>
      </c>
      <c r="AF50" s="27">
        <f>IF($W50="","",IFERROR(SUMIFS($R$2:$R$101,$D$2:$D$101,TEXT($W50,"yyyy-mm"),$E$2:$E$101,"Encaissement",$I$2:$I$101,"Réalisé"),0))</f>
        <v/>
      </c>
      <c r="AG50" s="27">
        <f>IF($W50="","",IFERROR(SUMIFS($R$2:$R$101,$D$2:$D$101,TEXT($W50,"yyyy-mm"),$E$2:$E$101,"Décaissement",$I$2:$I$101,"Réalisé"),0))</f>
        <v/>
      </c>
    </row>
    <row r="51">
      <c r="A51" s="20" t="n"/>
      <c r="B51" s="21" t="n"/>
      <c r="C51" s="21" t="n"/>
      <c r="D51" s="22">
        <f>IF(B51="","",IFERROR(TEXT(B51,"yyyy-mm"),""))</f>
        <v/>
      </c>
      <c r="E51" s="20" t="n"/>
      <c r="F51" s="20" t="n"/>
      <c r="G51" s="23" t="n"/>
      <c r="H51" s="23" t="n"/>
      <c r="I51" s="20" t="n"/>
      <c r="J51" s="20" t="n"/>
      <c r="K51" s="20" t="n"/>
      <c r="L51" s="24" t="n"/>
      <c r="M51" s="25">
        <f>IF(L51="","",IFERROR(IF(AND(J51="Oui",'Paramètres'!$B$16="Oui"),L51*'Paramètres'!$B$14,0),0))</f>
        <v/>
      </c>
      <c r="N51" s="25">
        <f>IF(L51="","",IFERROR(IF(AND(K51="Oui",'Paramètres'!$B$16="Oui"),L51*'Paramètres'!$B$15,0),0))</f>
        <v/>
      </c>
      <c r="O51" s="25">
        <f>IF(L51="","",IFERROR(L51+M51+N51,0))</f>
        <v/>
      </c>
      <c r="P51" s="25">
        <f>IF(A51="","",IFERROR(IF(E51="Encaissement",O51,0),0))</f>
        <v/>
      </c>
      <c r="Q51" s="25">
        <f>IF(A51="","",IFERROR(IF(E51="Décaissement",O51,0),0))</f>
        <v/>
      </c>
      <c r="R51" s="24" t="n"/>
      <c r="S51" s="25">
        <f>IF(R51="","",IFERROR(R51-O51,""))</f>
        <v/>
      </c>
      <c r="T51" s="20" t="n"/>
      <c r="U51" s="23" t="n"/>
      <c r="W51" s="26">
        <f>IF('Paramètres'!$B$8="","",IF(DATE(YEAR('Paramètres'!$B$8),MONTH('Paramètres'!$B$8)+47,1)&gt;'Paramètres'!$B$9,"",DATE(YEAR('Paramètres'!$B$8),MONTH('Paramètres'!$B$8)+47,1)))</f>
        <v/>
      </c>
      <c r="X51" s="27">
        <f>IF($W51="","",IFERROR($AB50,0))</f>
        <v/>
      </c>
      <c r="Y51" s="27">
        <f>IF($W51="","",IFERROR(SUMIFS($P$2:$P$101,$D$2:$D$101,TEXT($W51,"yyyy-mm"),$I$2:$I$101,"&lt;&gt;Annulé"),0))</f>
        <v/>
      </c>
      <c r="Z51" s="27">
        <f>IF($W51="","",IFERROR(SUMIFS($Q$2:$Q$101,$D$2:$D$101,TEXT($W51,"yyyy-mm"),$I$2:$I$101,"&lt;&gt;Annulé"),0))</f>
        <v/>
      </c>
      <c r="AA51" s="27">
        <f>IF($W51="","",IFERROR($Y51-$Z51,0))</f>
        <v/>
      </c>
      <c r="AB51" s="27">
        <f>IF($W51="","",IFERROR($X51+$AA51,0))</f>
        <v/>
      </c>
      <c r="AC51" s="27">
        <f>IF($W51="","",IFERROR('Paramètres'!$B$11,0))</f>
        <v/>
      </c>
      <c r="AD51" s="27">
        <f>IF($W51="","",IFERROR($AB51-$AC51,0))</f>
        <v/>
      </c>
      <c r="AE51" s="28">
        <f>IF($W51="","",IFERROR(IF($AB51&lt;$AC51,"À surveiller","OK"),"À vérifier"))</f>
        <v/>
      </c>
      <c r="AF51" s="27">
        <f>IF($W51="","",IFERROR(SUMIFS($R$2:$R$101,$D$2:$D$101,TEXT($W51,"yyyy-mm"),$E$2:$E$101,"Encaissement",$I$2:$I$101,"Réalisé"),0))</f>
        <v/>
      </c>
      <c r="AG51" s="27">
        <f>IF($W51="","",IFERROR(SUMIFS($R$2:$R$101,$D$2:$D$101,TEXT($W51,"yyyy-mm"),$E$2:$E$101,"Décaissement",$I$2:$I$101,"Réalisé"),0))</f>
        <v/>
      </c>
    </row>
    <row r="52">
      <c r="A52" s="20" t="n"/>
      <c r="B52" s="21" t="n"/>
      <c r="C52" s="21" t="n"/>
      <c r="D52" s="22">
        <f>IF(B52="","",IFERROR(TEXT(B52,"yyyy-mm"),""))</f>
        <v/>
      </c>
      <c r="E52" s="20" t="n"/>
      <c r="F52" s="20" t="n"/>
      <c r="G52" s="23" t="n"/>
      <c r="H52" s="23" t="n"/>
      <c r="I52" s="20" t="n"/>
      <c r="J52" s="20" t="n"/>
      <c r="K52" s="20" t="n"/>
      <c r="L52" s="24" t="n"/>
      <c r="M52" s="25">
        <f>IF(L52="","",IFERROR(IF(AND(J52="Oui",'Paramètres'!$B$16="Oui"),L52*'Paramètres'!$B$14,0),0))</f>
        <v/>
      </c>
      <c r="N52" s="25">
        <f>IF(L52="","",IFERROR(IF(AND(K52="Oui",'Paramètres'!$B$16="Oui"),L52*'Paramètres'!$B$15,0),0))</f>
        <v/>
      </c>
      <c r="O52" s="25">
        <f>IF(L52="","",IFERROR(L52+M52+N52,0))</f>
        <v/>
      </c>
      <c r="P52" s="25">
        <f>IF(A52="","",IFERROR(IF(E52="Encaissement",O52,0),0))</f>
        <v/>
      </c>
      <c r="Q52" s="25">
        <f>IF(A52="","",IFERROR(IF(E52="Décaissement",O52,0),0))</f>
        <v/>
      </c>
      <c r="R52" s="24" t="n"/>
      <c r="S52" s="25">
        <f>IF(R52="","",IFERROR(R52-O52,""))</f>
        <v/>
      </c>
      <c r="T52" s="20" t="n"/>
      <c r="U52" s="23" t="n"/>
      <c r="W52" s="26">
        <f>IF('Paramètres'!$B$8="","",IF(DATE(YEAR('Paramètres'!$B$8),MONTH('Paramètres'!$B$8)+48,1)&gt;'Paramètres'!$B$9,"",DATE(YEAR('Paramètres'!$B$8),MONTH('Paramètres'!$B$8)+48,1)))</f>
        <v/>
      </c>
      <c r="X52" s="27">
        <f>IF($W52="","",IFERROR($AB51,0))</f>
        <v/>
      </c>
      <c r="Y52" s="27">
        <f>IF($W52="","",IFERROR(SUMIFS($P$2:$P$101,$D$2:$D$101,TEXT($W52,"yyyy-mm"),$I$2:$I$101,"&lt;&gt;Annulé"),0))</f>
        <v/>
      </c>
      <c r="Z52" s="27">
        <f>IF($W52="","",IFERROR(SUMIFS($Q$2:$Q$101,$D$2:$D$101,TEXT($W52,"yyyy-mm"),$I$2:$I$101,"&lt;&gt;Annulé"),0))</f>
        <v/>
      </c>
      <c r="AA52" s="27">
        <f>IF($W52="","",IFERROR($Y52-$Z52,0))</f>
        <v/>
      </c>
      <c r="AB52" s="27">
        <f>IF($W52="","",IFERROR($X52+$AA52,0))</f>
        <v/>
      </c>
      <c r="AC52" s="27">
        <f>IF($W52="","",IFERROR('Paramètres'!$B$11,0))</f>
        <v/>
      </c>
      <c r="AD52" s="27">
        <f>IF($W52="","",IFERROR($AB52-$AC52,0))</f>
        <v/>
      </c>
      <c r="AE52" s="28">
        <f>IF($W52="","",IFERROR(IF($AB52&lt;$AC52,"À surveiller","OK"),"À vérifier"))</f>
        <v/>
      </c>
      <c r="AF52" s="27">
        <f>IF($W52="","",IFERROR(SUMIFS($R$2:$R$101,$D$2:$D$101,TEXT($W52,"yyyy-mm"),$E$2:$E$101,"Encaissement",$I$2:$I$101,"Réalisé"),0))</f>
        <v/>
      </c>
      <c r="AG52" s="27">
        <f>IF($W52="","",IFERROR(SUMIFS($R$2:$R$101,$D$2:$D$101,TEXT($W52,"yyyy-mm"),$E$2:$E$101,"Décaissement",$I$2:$I$101,"Réalisé"),0))</f>
        <v/>
      </c>
    </row>
    <row r="53">
      <c r="A53" s="20" t="n"/>
      <c r="B53" s="21" t="n"/>
      <c r="C53" s="21" t="n"/>
      <c r="D53" s="22">
        <f>IF(B53="","",IFERROR(TEXT(B53,"yyyy-mm"),""))</f>
        <v/>
      </c>
      <c r="E53" s="20" t="n"/>
      <c r="F53" s="20" t="n"/>
      <c r="G53" s="23" t="n"/>
      <c r="H53" s="23" t="n"/>
      <c r="I53" s="20" t="n"/>
      <c r="J53" s="20" t="n"/>
      <c r="K53" s="20" t="n"/>
      <c r="L53" s="24" t="n"/>
      <c r="M53" s="25">
        <f>IF(L53="","",IFERROR(IF(AND(J53="Oui",'Paramètres'!$B$16="Oui"),L53*'Paramètres'!$B$14,0),0))</f>
        <v/>
      </c>
      <c r="N53" s="25">
        <f>IF(L53="","",IFERROR(IF(AND(K53="Oui",'Paramètres'!$B$16="Oui"),L53*'Paramètres'!$B$15,0),0))</f>
        <v/>
      </c>
      <c r="O53" s="25">
        <f>IF(L53="","",IFERROR(L53+M53+N53,0))</f>
        <v/>
      </c>
      <c r="P53" s="25">
        <f>IF(A53="","",IFERROR(IF(E53="Encaissement",O53,0),0))</f>
        <v/>
      </c>
      <c r="Q53" s="25">
        <f>IF(A53="","",IFERROR(IF(E53="Décaissement",O53,0),0))</f>
        <v/>
      </c>
      <c r="R53" s="24" t="n"/>
      <c r="S53" s="25">
        <f>IF(R53="","",IFERROR(R53-O53,""))</f>
        <v/>
      </c>
      <c r="T53" s="20" t="n"/>
      <c r="U53" s="23" t="n"/>
      <c r="W53" s="26">
        <f>IF('Paramètres'!$B$8="","",IF(DATE(YEAR('Paramètres'!$B$8),MONTH('Paramètres'!$B$8)+49,1)&gt;'Paramètres'!$B$9,"",DATE(YEAR('Paramètres'!$B$8),MONTH('Paramètres'!$B$8)+49,1)))</f>
        <v/>
      </c>
      <c r="X53" s="27">
        <f>IF($W53="","",IFERROR($AB52,0))</f>
        <v/>
      </c>
      <c r="Y53" s="27">
        <f>IF($W53="","",IFERROR(SUMIFS($P$2:$P$101,$D$2:$D$101,TEXT($W53,"yyyy-mm"),$I$2:$I$101,"&lt;&gt;Annulé"),0))</f>
        <v/>
      </c>
      <c r="Z53" s="27">
        <f>IF($W53="","",IFERROR(SUMIFS($Q$2:$Q$101,$D$2:$D$101,TEXT($W53,"yyyy-mm"),$I$2:$I$101,"&lt;&gt;Annulé"),0))</f>
        <v/>
      </c>
      <c r="AA53" s="27">
        <f>IF($W53="","",IFERROR($Y53-$Z53,0))</f>
        <v/>
      </c>
      <c r="AB53" s="27">
        <f>IF($W53="","",IFERROR($X53+$AA53,0))</f>
        <v/>
      </c>
      <c r="AC53" s="27">
        <f>IF($W53="","",IFERROR('Paramètres'!$B$11,0))</f>
        <v/>
      </c>
      <c r="AD53" s="27">
        <f>IF($W53="","",IFERROR($AB53-$AC53,0))</f>
        <v/>
      </c>
      <c r="AE53" s="28">
        <f>IF($W53="","",IFERROR(IF($AB53&lt;$AC53,"À surveiller","OK"),"À vérifier"))</f>
        <v/>
      </c>
      <c r="AF53" s="27">
        <f>IF($W53="","",IFERROR(SUMIFS($R$2:$R$101,$D$2:$D$101,TEXT($W53,"yyyy-mm"),$E$2:$E$101,"Encaissement",$I$2:$I$101,"Réalisé"),0))</f>
        <v/>
      </c>
      <c r="AG53" s="27">
        <f>IF($W53="","",IFERROR(SUMIFS($R$2:$R$101,$D$2:$D$101,TEXT($W53,"yyyy-mm"),$E$2:$E$101,"Décaissement",$I$2:$I$101,"Réalisé"),0))</f>
        <v/>
      </c>
    </row>
    <row r="54">
      <c r="A54" s="20" t="n"/>
      <c r="B54" s="21" t="n"/>
      <c r="C54" s="21" t="n"/>
      <c r="D54" s="22">
        <f>IF(B54="","",IFERROR(TEXT(B54,"yyyy-mm"),""))</f>
        <v/>
      </c>
      <c r="E54" s="20" t="n"/>
      <c r="F54" s="20" t="n"/>
      <c r="G54" s="23" t="n"/>
      <c r="H54" s="23" t="n"/>
      <c r="I54" s="20" t="n"/>
      <c r="J54" s="20" t="n"/>
      <c r="K54" s="20" t="n"/>
      <c r="L54" s="24" t="n"/>
      <c r="M54" s="25">
        <f>IF(L54="","",IFERROR(IF(AND(J54="Oui",'Paramètres'!$B$16="Oui"),L54*'Paramètres'!$B$14,0),0))</f>
        <v/>
      </c>
      <c r="N54" s="25">
        <f>IF(L54="","",IFERROR(IF(AND(K54="Oui",'Paramètres'!$B$16="Oui"),L54*'Paramètres'!$B$15,0),0))</f>
        <v/>
      </c>
      <c r="O54" s="25">
        <f>IF(L54="","",IFERROR(L54+M54+N54,0))</f>
        <v/>
      </c>
      <c r="P54" s="25">
        <f>IF(A54="","",IFERROR(IF(E54="Encaissement",O54,0),0))</f>
        <v/>
      </c>
      <c r="Q54" s="25">
        <f>IF(A54="","",IFERROR(IF(E54="Décaissement",O54,0),0))</f>
        <v/>
      </c>
      <c r="R54" s="24" t="n"/>
      <c r="S54" s="25">
        <f>IF(R54="","",IFERROR(R54-O54,""))</f>
        <v/>
      </c>
      <c r="T54" s="20" t="n"/>
      <c r="U54" s="23" t="n"/>
      <c r="W54" s="26">
        <f>IF('Paramètres'!$B$8="","",IF(DATE(YEAR('Paramètres'!$B$8),MONTH('Paramètres'!$B$8)+50,1)&gt;'Paramètres'!$B$9,"",DATE(YEAR('Paramètres'!$B$8),MONTH('Paramètres'!$B$8)+50,1)))</f>
        <v/>
      </c>
      <c r="X54" s="27">
        <f>IF($W54="","",IFERROR($AB53,0))</f>
        <v/>
      </c>
      <c r="Y54" s="27">
        <f>IF($W54="","",IFERROR(SUMIFS($P$2:$P$101,$D$2:$D$101,TEXT($W54,"yyyy-mm"),$I$2:$I$101,"&lt;&gt;Annulé"),0))</f>
        <v/>
      </c>
      <c r="Z54" s="27">
        <f>IF($W54="","",IFERROR(SUMIFS($Q$2:$Q$101,$D$2:$D$101,TEXT($W54,"yyyy-mm"),$I$2:$I$101,"&lt;&gt;Annulé"),0))</f>
        <v/>
      </c>
      <c r="AA54" s="27">
        <f>IF($W54="","",IFERROR($Y54-$Z54,0))</f>
        <v/>
      </c>
      <c r="AB54" s="27">
        <f>IF($W54="","",IFERROR($X54+$AA54,0))</f>
        <v/>
      </c>
      <c r="AC54" s="27">
        <f>IF($W54="","",IFERROR('Paramètres'!$B$11,0))</f>
        <v/>
      </c>
      <c r="AD54" s="27">
        <f>IF($W54="","",IFERROR($AB54-$AC54,0))</f>
        <v/>
      </c>
      <c r="AE54" s="28">
        <f>IF($W54="","",IFERROR(IF($AB54&lt;$AC54,"À surveiller","OK"),"À vérifier"))</f>
        <v/>
      </c>
      <c r="AF54" s="27">
        <f>IF($W54="","",IFERROR(SUMIFS($R$2:$R$101,$D$2:$D$101,TEXT($W54,"yyyy-mm"),$E$2:$E$101,"Encaissement",$I$2:$I$101,"Réalisé"),0))</f>
        <v/>
      </c>
      <c r="AG54" s="27">
        <f>IF($W54="","",IFERROR(SUMIFS($R$2:$R$101,$D$2:$D$101,TEXT($W54,"yyyy-mm"),$E$2:$E$101,"Décaissement",$I$2:$I$101,"Réalisé"),0))</f>
        <v/>
      </c>
    </row>
    <row r="55">
      <c r="A55" s="20" t="n"/>
      <c r="B55" s="21" t="n"/>
      <c r="C55" s="21" t="n"/>
      <c r="D55" s="22">
        <f>IF(B55="","",IFERROR(TEXT(B55,"yyyy-mm"),""))</f>
        <v/>
      </c>
      <c r="E55" s="20" t="n"/>
      <c r="F55" s="20" t="n"/>
      <c r="G55" s="23" t="n"/>
      <c r="H55" s="23" t="n"/>
      <c r="I55" s="20" t="n"/>
      <c r="J55" s="20" t="n"/>
      <c r="K55" s="20" t="n"/>
      <c r="L55" s="24" t="n"/>
      <c r="M55" s="25">
        <f>IF(L55="","",IFERROR(IF(AND(J55="Oui",'Paramètres'!$B$16="Oui"),L55*'Paramètres'!$B$14,0),0))</f>
        <v/>
      </c>
      <c r="N55" s="25">
        <f>IF(L55="","",IFERROR(IF(AND(K55="Oui",'Paramètres'!$B$16="Oui"),L55*'Paramètres'!$B$15,0),0))</f>
        <v/>
      </c>
      <c r="O55" s="25">
        <f>IF(L55="","",IFERROR(L55+M55+N55,0))</f>
        <v/>
      </c>
      <c r="P55" s="25">
        <f>IF(A55="","",IFERROR(IF(E55="Encaissement",O55,0),0))</f>
        <v/>
      </c>
      <c r="Q55" s="25">
        <f>IF(A55="","",IFERROR(IF(E55="Décaissement",O55,0),0))</f>
        <v/>
      </c>
      <c r="R55" s="24" t="n"/>
      <c r="S55" s="25">
        <f>IF(R55="","",IFERROR(R55-O55,""))</f>
        <v/>
      </c>
      <c r="T55" s="20" t="n"/>
      <c r="U55" s="23" t="n"/>
      <c r="W55" s="26">
        <f>IF('Paramètres'!$B$8="","",IF(DATE(YEAR('Paramètres'!$B$8),MONTH('Paramètres'!$B$8)+51,1)&gt;'Paramètres'!$B$9,"",DATE(YEAR('Paramètres'!$B$8),MONTH('Paramètres'!$B$8)+51,1)))</f>
        <v/>
      </c>
      <c r="X55" s="27">
        <f>IF($W55="","",IFERROR($AB54,0))</f>
        <v/>
      </c>
      <c r="Y55" s="27">
        <f>IF($W55="","",IFERROR(SUMIFS($P$2:$P$101,$D$2:$D$101,TEXT($W55,"yyyy-mm"),$I$2:$I$101,"&lt;&gt;Annulé"),0))</f>
        <v/>
      </c>
      <c r="Z55" s="27">
        <f>IF($W55="","",IFERROR(SUMIFS($Q$2:$Q$101,$D$2:$D$101,TEXT($W55,"yyyy-mm"),$I$2:$I$101,"&lt;&gt;Annulé"),0))</f>
        <v/>
      </c>
      <c r="AA55" s="27">
        <f>IF($W55="","",IFERROR($Y55-$Z55,0))</f>
        <v/>
      </c>
      <c r="AB55" s="27">
        <f>IF($W55="","",IFERROR($X55+$AA55,0))</f>
        <v/>
      </c>
      <c r="AC55" s="27">
        <f>IF($W55="","",IFERROR('Paramètres'!$B$11,0))</f>
        <v/>
      </c>
      <c r="AD55" s="27">
        <f>IF($W55="","",IFERROR($AB55-$AC55,0))</f>
        <v/>
      </c>
      <c r="AE55" s="28">
        <f>IF($W55="","",IFERROR(IF($AB55&lt;$AC55,"À surveiller","OK"),"À vérifier"))</f>
        <v/>
      </c>
      <c r="AF55" s="27">
        <f>IF($W55="","",IFERROR(SUMIFS($R$2:$R$101,$D$2:$D$101,TEXT($W55,"yyyy-mm"),$E$2:$E$101,"Encaissement",$I$2:$I$101,"Réalisé"),0))</f>
        <v/>
      </c>
      <c r="AG55" s="27">
        <f>IF($W55="","",IFERROR(SUMIFS($R$2:$R$101,$D$2:$D$101,TEXT($W55,"yyyy-mm"),$E$2:$E$101,"Décaissement",$I$2:$I$101,"Réalisé"),0))</f>
        <v/>
      </c>
    </row>
    <row r="56">
      <c r="A56" s="20" t="n"/>
      <c r="B56" s="21" t="n"/>
      <c r="C56" s="21" t="n"/>
      <c r="D56" s="22">
        <f>IF(B56="","",IFERROR(TEXT(B56,"yyyy-mm"),""))</f>
        <v/>
      </c>
      <c r="E56" s="20" t="n"/>
      <c r="F56" s="20" t="n"/>
      <c r="G56" s="23" t="n"/>
      <c r="H56" s="23" t="n"/>
      <c r="I56" s="20" t="n"/>
      <c r="J56" s="20" t="n"/>
      <c r="K56" s="20" t="n"/>
      <c r="L56" s="24" t="n"/>
      <c r="M56" s="25">
        <f>IF(L56="","",IFERROR(IF(AND(J56="Oui",'Paramètres'!$B$16="Oui"),L56*'Paramètres'!$B$14,0),0))</f>
        <v/>
      </c>
      <c r="N56" s="25">
        <f>IF(L56="","",IFERROR(IF(AND(K56="Oui",'Paramètres'!$B$16="Oui"),L56*'Paramètres'!$B$15,0),0))</f>
        <v/>
      </c>
      <c r="O56" s="25">
        <f>IF(L56="","",IFERROR(L56+M56+N56,0))</f>
        <v/>
      </c>
      <c r="P56" s="25">
        <f>IF(A56="","",IFERROR(IF(E56="Encaissement",O56,0),0))</f>
        <v/>
      </c>
      <c r="Q56" s="25">
        <f>IF(A56="","",IFERROR(IF(E56="Décaissement",O56,0),0))</f>
        <v/>
      </c>
      <c r="R56" s="24" t="n"/>
      <c r="S56" s="25">
        <f>IF(R56="","",IFERROR(R56-O56,""))</f>
        <v/>
      </c>
      <c r="T56" s="20" t="n"/>
      <c r="U56" s="23" t="n"/>
      <c r="W56" s="26">
        <f>IF('Paramètres'!$B$8="","",IF(DATE(YEAR('Paramètres'!$B$8),MONTH('Paramètres'!$B$8)+52,1)&gt;'Paramètres'!$B$9,"",DATE(YEAR('Paramètres'!$B$8),MONTH('Paramètres'!$B$8)+52,1)))</f>
        <v/>
      </c>
      <c r="X56" s="27">
        <f>IF($W56="","",IFERROR($AB55,0))</f>
        <v/>
      </c>
      <c r="Y56" s="27">
        <f>IF($W56="","",IFERROR(SUMIFS($P$2:$P$101,$D$2:$D$101,TEXT($W56,"yyyy-mm"),$I$2:$I$101,"&lt;&gt;Annulé"),0))</f>
        <v/>
      </c>
      <c r="Z56" s="27">
        <f>IF($W56="","",IFERROR(SUMIFS($Q$2:$Q$101,$D$2:$D$101,TEXT($W56,"yyyy-mm"),$I$2:$I$101,"&lt;&gt;Annulé"),0))</f>
        <v/>
      </c>
      <c r="AA56" s="27">
        <f>IF($W56="","",IFERROR($Y56-$Z56,0))</f>
        <v/>
      </c>
      <c r="AB56" s="27">
        <f>IF($W56="","",IFERROR($X56+$AA56,0))</f>
        <v/>
      </c>
      <c r="AC56" s="27">
        <f>IF($W56="","",IFERROR('Paramètres'!$B$11,0))</f>
        <v/>
      </c>
      <c r="AD56" s="27">
        <f>IF($W56="","",IFERROR($AB56-$AC56,0))</f>
        <v/>
      </c>
      <c r="AE56" s="28">
        <f>IF($W56="","",IFERROR(IF($AB56&lt;$AC56,"À surveiller","OK"),"À vérifier"))</f>
        <v/>
      </c>
      <c r="AF56" s="27">
        <f>IF($W56="","",IFERROR(SUMIFS($R$2:$R$101,$D$2:$D$101,TEXT($W56,"yyyy-mm"),$E$2:$E$101,"Encaissement",$I$2:$I$101,"Réalisé"),0))</f>
        <v/>
      </c>
      <c r="AG56" s="27">
        <f>IF($W56="","",IFERROR(SUMIFS($R$2:$R$101,$D$2:$D$101,TEXT($W56,"yyyy-mm"),$E$2:$E$101,"Décaissement",$I$2:$I$101,"Réalisé"),0))</f>
        <v/>
      </c>
    </row>
    <row r="57">
      <c r="A57" s="20" t="n"/>
      <c r="B57" s="21" t="n"/>
      <c r="C57" s="21" t="n"/>
      <c r="D57" s="22">
        <f>IF(B57="","",IFERROR(TEXT(B57,"yyyy-mm"),""))</f>
        <v/>
      </c>
      <c r="E57" s="20" t="n"/>
      <c r="F57" s="20" t="n"/>
      <c r="G57" s="23" t="n"/>
      <c r="H57" s="23" t="n"/>
      <c r="I57" s="20" t="n"/>
      <c r="J57" s="20" t="n"/>
      <c r="K57" s="20" t="n"/>
      <c r="L57" s="24" t="n"/>
      <c r="M57" s="25">
        <f>IF(L57="","",IFERROR(IF(AND(J57="Oui",'Paramètres'!$B$16="Oui"),L57*'Paramètres'!$B$14,0),0))</f>
        <v/>
      </c>
      <c r="N57" s="25">
        <f>IF(L57="","",IFERROR(IF(AND(K57="Oui",'Paramètres'!$B$16="Oui"),L57*'Paramètres'!$B$15,0),0))</f>
        <v/>
      </c>
      <c r="O57" s="25">
        <f>IF(L57="","",IFERROR(L57+M57+N57,0))</f>
        <v/>
      </c>
      <c r="P57" s="25">
        <f>IF(A57="","",IFERROR(IF(E57="Encaissement",O57,0),0))</f>
        <v/>
      </c>
      <c r="Q57" s="25">
        <f>IF(A57="","",IFERROR(IF(E57="Décaissement",O57,0),0))</f>
        <v/>
      </c>
      <c r="R57" s="24" t="n"/>
      <c r="S57" s="25">
        <f>IF(R57="","",IFERROR(R57-O57,""))</f>
        <v/>
      </c>
      <c r="T57" s="20" t="n"/>
      <c r="U57" s="23" t="n"/>
      <c r="W57" s="26">
        <f>IF('Paramètres'!$B$8="","",IF(DATE(YEAR('Paramètres'!$B$8),MONTH('Paramètres'!$B$8)+53,1)&gt;'Paramètres'!$B$9,"",DATE(YEAR('Paramètres'!$B$8),MONTH('Paramètres'!$B$8)+53,1)))</f>
        <v/>
      </c>
      <c r="X57" s="27">
        <f>IF($W57="","",IFERROR($AB56,0))</f>
        <v/>
      </c>
      <c r="Y57" s="27">
        <f>IF($W57="","",IFERROR(SUMIFS($P$2:$P$101,$D$2:$D$101,TEXT($W57,"yyyy-mm"),$I$2:$I$101,"&lt;&gt;Annulé"),0))</f>
        <v/>
      </c>
      <c r="Z57" s="27">
        <f>IF($W57="","",IFERROR(SUMIFS($Q$2:$Q$101,$D$2:$D$101,TEXT($W57,"yyyy-mm"),$I$2:$I$101,"&lt;&gt;Annulé"),0))</f>
        <v/>
      </c>
      <c r="AA57" s="27">
        <f>IF($W57="","",IFERROR($Y57-$Z57,0))</f>
        <v/>
      </c>
      <c r="AB57" s="27">
        <f>IF($W57="","",IFERROR($X57+$AA57,0))</f>
        <v/>
      </c>
      <c r="AC57" s="27">
        <f>IF($W57="","",IFERROR('Paramètres'!$B$11,0))</f>
        <v/>
      </c>
      <c r="AD57" s="27">
        <f>IF($W57="","",IFERROR($AB57-$AC57,0))</f>
        <v/>
      </c>
      <c r="AE57" s="28">
        <f>IF($W57="","",IFERROR(IF($AB57&lt;$AC57,"À surveiller","OK"),"À vérifier"))</f>
        <v/>
      </c>
      <c r="AF57" s="27">
        <f>IF($W57="","",IFERROR(SUMIFS($R$2:$R$101,$D$2:$D$101,TEXT($W57,"yyyy-mm"),$E$2:$E$101,"Encaissement",$I$2:$I$101,"Réalisé"),0))</f>
        <v/>
      </c>
      <c r="AG57" s="27">
        <f>IF($W57="","",IFERROR(SUMIFS($R$2:$R$101,$D$2:$D$101,TEXT($W57,"yyyy-mm"),$E$2:$E$101,"Décaissement",$I$2:$I$101,"Réalisé"),0))</f>
        <v/>
      </c>
    </row>
    <row r="58">
      <c r="A58" s="20" t="n"/>
      <c r="B58" s="21" t="n"/>
      <c r="C58" s="21" t="n"/>
      <c r="D58" s="22">
        <f>IF(B58="","",IFERROR(TEXT(B58,"yyyy-mm"),""))</f>
        <v/>
      </c>
      <c r="E58" s="20" t="n"/>
      <c r="F58" s="20" t="n"/>
      <c r="G58" s="23" t="n"/>
      <c r="H58" s="23" t="n"/>
      <c r="I58" s="20" t="n"/>
      <c r="J58" s="20" t="n"/>
      <c r="K58" s="20" t="n"/>
      <c r="L58" s="24" t="n"/>
      <c r="M58" s="25">
        <f>IF(L58="","",IFERROR(IF(AND(J58="Oui",'Paramètres'!$B$16="Oui"),L58*'Paramètres'!$B$14,0),0))</f>
        <v/>
      </c>
      <c r="N58" s="25">
        <f>IF(L58="","",IFERROR(IF(AND(K58="Oui",'Paramètres'!$B$16="Oui"),L58*'Paramètres'!$B$15,0),0))</f>
        <v/>
      </c>
      <c r="O58" s="25">
        <f>IF(L58="","",IFERROR(L58+M58+N58,0))</f>
        <v/>
      </c>
      <c r="P58" s="25">
        <f>IF(A58="","",IFERROR(IF(E58="Encaissement",O58,0),0))</f>
        <v/>
      </c>
      <c r="Q58" s="25">
        <f>IF(A58="","",IFERROR(IF(E58="Décaissement",O58,0),0))</f>
        <v/>
      </c>
      <c r="R58" s="24" t="n"/>
      <c r="S58" s="25">
        <f>IF(R58="","",IFERROR(R58-O58,""))</f>
        <v/>
      </c>
      <c r="T58" s="20" t="n"/>
      <c r="U58" s="23" t="n"/>
      <c r="W58" s="26">
        <f>IF('Paramètres'!$B$8="","",IF(DATE(YEAR('Paramètres'!$B$8),MONTH('Paramètres'!$B$8)+54,1)&gt;'Paramètres'!$B$9,"",DATE(YEAR('Paramètres'!$B$8),MONTH('Paramètres'!$B$8)+54,1)))</f>
        <v/>
      </c>
      <c r="X58" s="27">
        <f>IF($W58="","",IFERROR($AB57,0))</f>
        <v/>
      </c>
      <c r="Y58" s="27">
        <f>IF($W58="","",IFERROR(SUMIFS($P$2:$P$101,$D$2:$D$101,TEXT($W58,"yyyy-mm"),$I$2:$I$101,"&lt;&gt;Annulé"),0))</f>
        <v/>
      </c>
      <c r="Z58" s="27">
        <f>IF($W58="","",IFERROR(SUMIFS($Q$2:$Q$101,$D$2:$D$101,TEXT($W58,"yyyy-mm"),$I$2:$I$101,"&lt;&gt;Annulé"),0))</f>
        <v/>
      </c>
      <c r="AA58" s="27">
        <f>IF($W58="","",IFERROR($Y58-$Z58,0))</f>
        <v/>
      </c>
      <c r="AB58" s="27">
        <f>IF($W58="","",IFERROR($X58+$AA58,0))</f>
        <v/>
      </c>
      <c r="AC58" s="27">
        <f>IF($W58="","",IFERROR('Paramètres'!$B$11,0))</f>
        <v/>
      </c>
      <c r="AD58" s="27">
        <f>IF($W58="","",IFERROR($AB58-$AC58,0))</f>
        <v/>
      </c>
      <c r="AE58" s="28">
        <f>IF($W58="","",IFERROR(IF($AB58&lt;$AC58,"À surveiller","OK"),"À vérifier"))</f>
        <v/>
      </c>
      <c r="AF58" s="27">
        <f>IF($W58="","",IFERROR(SUMIFS($R$2:$R$101,$D$2:$D$101,TEXT($W58,"yyyy-mm"),$E$2:$E$101,"Encaissement",$I$2:$I$101,"Réalisé"),0))</f>
        <v/>
      </c>
      <c r="AG58" s="27">
        <f>IF($W58="","",IFERROR(SUMIFS($R$2:$R$101,$D$2:$D$101,TEXT($W58,"yyyy-mm"),$E$2:$E$101,"Décaissement",$I$2:$I$101,"Réalisé"),0))</f>
        <v/>
      </c>
    </row>
    <row r="59">
      <c r="A59" s="20" t="n"/>
      <c r="B59" s="21" t="n"/>
      <c r="C59" s="21" t="n"/>
      <c r="D59" s="22">
        <f>IF(B59="","",IFERROR(TEXT(B59,"yyyy-mm"),""))</f>
        <v/>
      </c>
      <c r="E59" s="20" t="n"/>
      <c r="F59" s="20" t="n"/>
      <c r="G59" s="23" t="n"/>
      <c r="H59" s="23" t="n"/>
      <c r="I59" s="20" t="n"/>
      <c r="J59" s="20" t="n"/>
      <c r="K59" s="20" t="n"/>
      <c r="L59" s="24" t="n"/>
      <c r="M59" s="25">
        <f>IF(L59="","",IFERROR(IF(AND(J59="Oui",'Paramètres'!$B$16="Oui"),L59*'Paramètres'!$B$14,0),0))</f>
        <v/>
      </c>
      <c r="N59" s="25">
        <f>IF(L59="","",IFERROR(IF(AND(K59="Oui",'Paramètres'!$B$16="Oui"),L59*'Paramètres'!$B$15,0),0))</f>
        <v/>
      </c>
      <c r="O59" s="25">
        <f>IF(L59="","",IFERROR(L59+M59+N59,0))</f>
        <v/>
      </c>
      <c r="P59" s="25">
        <f>IF(A59="","",IFERROR(IF(E59="Encaissement",O59,0),0))</f>
        <v/>
      </c>
      <c r="Q59" s="25">
        <f>IF(A59="","",IFERROR(IF(E59="Décaissement",O59,0),0))</f>
        <v/>
      </c>
      <c r="R59" s="24" t="n"/>
      <c r="S59" s="25">
        <f>IF(R59="","",IFERROR(R59-O59,""))</f>
        <v/>
      </c>
      <c r="T59" s="20" t="n"/>
      <c r="U59" s="23" t="n"/>
      <c r="W59" s="26">
        <f>IF('Paramètres'!$B$8="","",IF(DATE(YEAR('Paramètres'!$B$8),MONTH('Paramètres'!$B$8)+55,1)&gt;'Paramètres'!$B$9,"",DATE(YEAR('Paramètres'!$B$8),MONTH('Paramètres'!$B$8)+55,1)))</f>
        <v/>
      </c>
      <c r="X59" s="27">
        <f>IF($W59="","",IFERROR($AB58,0))</f>
        <v/>
      </c>
      <c r="Y59" s="27">
        <f>IF($W59="","",IFERROR(SUMIFS($P$2:$P$101,$D$2:$D$101,TEXT($W59,"yyyy-mm"),$I$2:$I$101,"&lt;&gt;Annulé"),0))</f>
        <v/>
      </c>
      <c r="Z59" s="27">
        <f>IF($W59="","",IFERROR(SUMIFS($Q$2:$Q$101,$D$2:$D$101,TEXT($W59,"yyyy-mm"),$I$2:$I$101,"&lt;&gt;Annulé"),0))</f>
        <v/>
      </c>
      <c r="AA59" s="27">
        <f>IF($W59="","",IFERROR($Y59-$Z59,0))</f>
        <v/>
      </c>
      <c r="AB59" s="27">
        <f>IF($W59="","",IFERROR($X59+$AA59,0))</f>
        <v/>
      </c>
      <c r="AC59" s="27">
        <f>IF($W59="","",IFERROR('Paramètres'!$B$11,0))</f>
        <v/>
      </c>
      <c r="AD59" s="27">
        <f>IF($W59="","",IFERROR($AB59-$AC59,0))</f>
        <v/>
      </c>
      <c r="AE59" s="28">
        <f>IF($W59="","",IFERROR(IF($AB59&lt;$AC59,"À surveiller","OK"),"À vérifier"))</f>
        <v/>
      </c>
      <c r="AF59" s="27">
        <f>IF($W59="","",IFERROR(SUMIFS($R$2:$R$101,$D$2:$D$101,TEXT($W59,"yyyy-mm"),$E$2:$E$101,"Encaissement",$I$2:$I$101,"Réalisé"),0))</f>
        <v/>
      </c>
      <c r="AG59" s="27">
        <f>IF($W59="","",IFERROR(SUMIFS($R$2:$R$101,$D$2:$D$101,TEXT($W59,"yyyy-mm"),$E$2:$E$101,"Décaissement",$I$2:$I$101,"Réalisé"),0))</f>
        <v/>
      </c>
    </row>
    <row r="60">
      <c r="A60" s="20" t="n"/>
      <c r="B60" s="21" t="n"/>
      <c r="C60" s="21" t="n"/>
      <c r="D60" s="22">
        <f>IF(B60="","",IFERROR(TEXT(B60,"yyyy-mm"),""))</f>
        <v/>
      </c>
      <c r="E60" s="20" t="n"/>
      <c r="F60" s="20" t="n"/>
      <c r="G60" s="23" t="n"/>
      <c r="H60" s="23" t="n"/>
      <c r="I60" s="20" t="n"/>
      <c r="J60" s="20" t="n"/>
      <c r="K60" s="20" t="n"/>
      <c r="L60" s="24" t="n"/>
      <c r="M60" s="25">
        <f>IF(L60="","",IFERROR(IF(AND(J60="Oui",'Paramètres'!$B$16="Oui"),L60*'Paramètres'!$B$14,0),0))</f>
        <v/>
      </c>
      <c r="N60" s="25">
        <f>IF(L60="","",IFERROR(IF(AND(K60="Oui",'Paramètres'!$B$16="Oui"),L60*'Paramètres'!$B$15,0),0))</f>
        <v/>
      </c>
      <c r="O60" s="25">
        <f>IF(L60="","",IFERROR(L60+M60+N60,0))</f>
        <v/>
      </c>
      <c r="P60" s="25">
        <f>IF(A60="","",IFERROR(IF(E60="Encaissement",O60,0),0))</f>
        <v/>
      </c>
      <c r="Q60" s="25">
        <f>IF(A60="","",IFERROR(IF(E60="Décaissement",O60,0),0))</f>
        <v/>
      </c>
      <c r="R60" s="24" t="n"/>
      <c r="S60" s="25">
        <f>IF(R60="","",IFERROR(R60-O60,""))</f>
        <v/>
      </c>
      <c r="T60" s="20" t="n"/>
      <c r="U60" s="23" t="n"/>
      <c r="W60" s="26">
        <f>IF('Paramètres'!$B$8="","",IF(DATE(YEAR('Paramètres'!$B$8),MONTH('Paramètres'!$B$8)+56,1)&gt;'Paramètres'!$B$9,"",DATE(YEAR('Paramètres'!$B$8),MONTH('Paramètres'!$B$8)+56,1)))</f>
        <v/>
      </c>
      <c r="X60" s="27">
        <f>IF($W60="","",IFERROR($AB59,0))</f>
        <v/>
      </c>
      <c r="Y60" s="27">
        <f>IF($W60="","",IFERROR(SUMIFS($P$2:$P$101,$D$2:$D$101,TEXT($W60,"yyyy-mm"),$I$2:$I$101,"&lt;&gt;Annulé"),0))</f>
        <v/>
      </c>
      <c r="Z60" s="27">
        <f>IF($W60="","",IFERROR(SUMIFS($Q$2:$Q$101,$D$2:$D$101,TEXT($W60,"yyyy-mm"),$I$2:$I$101,"&lt;&gt;Annulé"),0))</f>
        <v/>
      </c>
      <c r="AA60" s="27">
        <f>IF($W60="","",IFERROR($Y60-$Z60,0))</f>
        <v/>
      </c>
      <c r="AB60" s="27">
        <f>IF($W60="","",IFERROR($X60+$AA60,0))</f>
        <v/>
      </c>
      <c r="AC60" s="27">
        <f>IF($W60="","",IFERROR('Paramètres'!$B$11,0))</f>
        <v/>
      </c>
      <c r="AD60" s="27">
        <f>IF($W60="","",IFERROR($AB60-$AC60,0))</f>
        <v/>
      </c>
      <c r="AE60" s="28">
        <f>IF($W60="","",IFERROR(IF($AB60&lt;$AC60,"À surveiller","OK"),"À vérifier"))</f>
        <v/>
      </c>
      <c r="AF60" s="27">
        <f>IF($W60="","",IFERROR(SUMIFS($R$2:$R$101,$D$2:$D$101,TEXT($W60,"yyyy-mm"),$E$2:$E$101,"Encaissement",$I$2:$I$101,"Réalisé"),0))</f>
        <v/>
      </c>
      <c r="AG60" s="27">
        <f>IF($W60="","",IFERROR(SUMIFS($R$2:$R$101,$D$2:$D$101,TEXT($W60,"yyyy-mm"),$E$2:$E$101,"Décaissement",$I$2:$I$101,"Réalisé"),0))</f>
        <v/>
      </c>
    </row>
    <row r="61">
      <c r="A61" s="20" t="n"/>
      <c r="B61" s="21" t="n"/>
      <c r="C61" s="21" t="n"/>
      <c r="D61" s="22">
        <f>IF(B61="","",IFERROR(TEXT(B61,"yyyy-mm"),""))</f>
        <v/>
      </c>
      <c r="E61" s="20" t="n"/>
      <c r="F61" s="20" t="n"/>
      <c r="G61" s="23" t="n"/>
      <c r="H61" s="23" t="n"/>
      <c r="I61" s="20" t="n"/>
      <c r="J61" s="20" t="n"/>
      <c r="K61" s="20" t="n"/>
      <c r="L61" s="24" t="n"/>
      <c r="M61" s="25">
        <f>IF(L61="","",IFERROR(IF(AND(J61="Oui",'Paramètres'!$B$16="Oui"),L61*'Paramètres'!$B$14,0),0))</f>
        <v/>
      </c>
      <c r="N61" s="25">
        <f>IF(L61="","",IFERROR(IF(AND(K61="Oui",'Paramètres'!$B$16="Oui"),L61*'Paramètres'!$B$15,0),0))</f>
        <v/>
      </c>
      <c r="O61" s="25">
        <f>IF(L61="","",IFERROR(L61+M61+N61,0))</f>
        <v/>
      </c>
      <c r="P61" s="25">
        <f>IF(A61="","",IFERROR(IF(E61="Encaissement",O61,0),0))</f>
        <v/>
      </c>
      <c r="Q61" s="25">
        <f>IF(A61="","",IFERROR(IF(E61="Décaissement",O61,0),0))</f>
        <v/>
      </c>
      <c r="R61" s="24" t="n"/>
      <c r="S61" s="25">
        <f>IF(R61="","",IFERROR(R61-O61,""))</f>
        <v/>
      </c>
      <c r="T61" s="20" t="n"/>
      <c r="U61" s="23" t="n"/>
      <c r="W61" s="26">
        <f>IF('Paramètres'!$B$8="","",IF(DATE(YEAR('Paramètres'!$B$8),MONTH('Paramètres'!$B$8)+57,1)&gt;'Paramètres'!$B$9,"",DATE(YEAR('Paramètres'!$B$8),MONTH('Paramètres'!$B$8)+57,1)))</f>
        <v/>
      </c>
      <c r="X61" s="27">
        <f>IF($W61="","",IFERROR($AB60,0))</f>
        <v/>
      </c>
      <c r="Y61" s="27">
        <f>IF($W61="","",IFERROR(SUMIFS($P$2:$P$101,$D$2:$D$101,TEXT($W61,"yyyy-mm"),$I$2:$I$101,"&lt;&gt;Annulé"),0))</f>
        <v/>
      </c>
      <c r="Z61" s="27">
        <f>IF($W61="","",IFERROR(SUMIFS($Q$2:$Q$101,$D$2:$D$101,TEXT($W61,"yyyy-mm"),$I$2:$I$101,"&lt;&gt;Annulé"),0))</f>
        <v/>
      </c>
      <c r="AA61" s="27">
        <f>IF($W61="","",IFERROR($Y61-$Z61,0))</f>
        <v/>
      </c>
      <c r="AB61" s="27">
        <f>IF($W61="","",IFERROR($X61+$AA61,0))</f>
        <v/>
      </c>
      <c r="AC61" s="27">
        <f>IF($W61="","",IFERROR('Paramètres'!$B$11,0))</f>
        <v/>
      </c>
      <c r="AD61" s="27">
        <f>IF($W61="","",IFERROR($AB61-$AC61,0))</f>
        <v/>
      </c>
      <c r="AE61" s="28">
        <f>IF($W61="","",IFERROR(IF($AB61&lt;$AC61,"À surveiller","OK"),"À vérifier"))</f>
        <v/>
      </c>
      <c r="AF61" s="27">
        <f>IF($W61="","",IFERROR(SUMIFS($R$2:$R$101,$D$2:$D$101,TEXT($W61,"yyyy-mm"),$E$2:$E$101,"Encaissement",$I$2:$I$101,"Réalisé"),0))</f>
        <v/>
      </c>
      <c r="AG61" s="27">
        <f>IF($W61="","",IFERROR(SUMIFS($R$2:$R$101,$D$2:$D$101,TEXT($W61,"yyyy-mm"),$E$2:$E$101,"Décaissement",$I$2:$I$101,"Réalisé"),0))</f>
        <v/>
      </c>
    </row>
    <row r="62">
      <c r="A62" s="20" t="n"/>
      <c r="B62" s="21" t="n"/>
      <c r="C62" s="21" t="n"/>
      <c r="D62" s="22">
        <f>IF(B62="","",IFERROR(TEXT(B62,"yyyy-mm"),""))</f>
        <v/>
      </c>
      <c r="E62" s="20" t="n"/>
      <c r="F62" s="20" t="n"/>
      <c r="G62" s="23" t="n"/>
      <c r="H62" s="23" t="n"/>
      <c r="I62" s="20" t="n"/>
      <c r="J62" s="20" t="n"/>
      <c r="K62" s="20" t="n"/>
      <c r="L62" s="24" t="n"/>
      <c r="M62" s="25">
        <f>IF(L62="","",IFERROR(IF(AND(J62="Oui",'Paramètres'!$B$16="Oui"),L62*'Paramètres'!$B$14,0),0))</f>
        <v/>
      </c>
      <c r="N62" s="25">
        <f>IF(L62="","",IFERROR(IF(AND(K62="Oui",'Paramètres'!$B$16="Oui"),L62*'Paramètres'!$B$15,0),0))</f>
        <v/>
      </c>
      <c r="O62" s="25">
        <f>IF(L62="","",IFERROR(L62+M62+N62,0))</f>
        <v/>
      </c>
      <c r="P62" s="25">
        <f>IF(A62="","",IFERROR(IF(E62="Encaissement",O62,0),0))</f>
        <v/>
      </c>
      <c r="Q62" s="25">
        <f>IF(A62="","",IFERROR(IF(E62="Décaissement",O62,0),0))</f>
        <v/>
      </c>
      <c r="R62" s="24" t="n"/>
      <c r="S62" s="25">
        <f>IF(R62="","",IFERROR(R62-O62,""))</f>
        <v/>
      </c>
      <c r="T62" s="20" t="n"/>
      <c r="U62" s="23" t="n"/>
      <c r="W62" s="26">
        <f>IF('Paramètres'!$B$8="","",IF(DATE(YEAR('Paramètres'!$B$8),MONTH('Paramètres'!$B$8)+58,1)&gt;'Paramètres'!$B$9,"",DATE(YEAR('Paramètres'!$B$8),MONTH('Paramètres'!$B$8)+58,1)))</f>
        <v/>
      </c>
      <c r="X62" s="27">
        <f>IF($W62="","",IFERROR($AB61,0))</f>
        <v/>
      </c>
      <c r="Y62" s="27">
        <f>IF($W62="","",IFERROR(SUMIFS($P$2:$P$101,$D$2:$D$101,TEXT($W62,"yyyy-mm"),$I$2:$I$101,"&lt;&gt;Annulé"),0))</f>
        <v/>
      </c>
      <c r="Z62" s="27">
        <f>IF($W62="","",IFERROR(SUMIFS($Q$2:$Q$101,$D$2:$D$101,TEXT($W62,"yyyy-mm"),$I$2:$I$101,"&lt;&gt;Annulé"),0))</f>
        <v/>
      </c>
      <c r="AA62" s="27">
        <f>IF($W62="","",IFERROR($Y62-$Z62,0))</f>
        <v/>
      </c>
      <c r="AB62" s="27">
        <f>IF($W62="","",IFERROR($X62+$AA62,0))</f>
        <v/>
      </c>
      <c r="AC62" s="27">
        <f>IF($W62="","",IFERROR('Paramètres'!$B$11,0))</f>
        <v/>
      </c>
      <c r="AD62" s="27">
        <f>IF($W62="","",IFERROR($AB62-$AC62,0))</f>
        <v/>
      </c>
      <c r="AE62" s="28">
        <f>IF($W62="","",IFERROR(IF($AB62&lt;$AC62,"À surveiller","OK"),"À vérifier"))</f>
        <v/>
      </c>
      <c r="AF62" s="27">
        <f>IF($W62="","",IFERROR(SUMIFS($R$2:$R$101,$D$2:$D$101,TEXT($W62,"yyyy-mm"),$E$2:$E$101,"Encaissement",$I$2:$I$101,"Réalisé"),0))</f>
        <v/>
      </c>
      <c r="AG62" s="27">
        <f>IF($W62="","",IFERROR(SUMIFS($R$2:$R$101,$D$2:$D$101,TEXT($W62,"yyyy-mm"),$E$2:$E$101,"Décaissement",$I$2:$I$101,"Réalisé"),0))</f>
        <v/>
      </c>
    </row>
    <row r="63">
      <c r="A63" s="20" t="n"/>
      <c r="B63" s="21" t="n"/>
      <c r="C63" s="21" t="n"/>
      <c r="D63" s="22">
        <f>IF(B63="","",IFERROR(TEXT(B63,"yyyy-mm"),""))</f>
        <v/>
      </c>
      <c r="E63" s="20" t="n"/>
      <c r="F63" s="20" t="n"/>
      <c r="G63" s="23" t="n"/>
      <c r="H63" s="23" t="n"/>
      <c r="I63" s="20" t="n"/>
      <c r="J63" s="20" t="n"/>
      <c r="K63" s="20" t="n"/>
      <c r="L63" s="24" t="n"/>
      <c r="M63" s="25">
        <f>IF(L63="","",IFERROR(IF(AND(J63="Oui",'Paramètres'!$B$16="Oui"),L63*'Paramètres'!$B$14,0),0))</f>
        <v/>
      </c>
      <c r="N63" s="25">
        <f>IF(L63="","",IFERROR(IF(AND(K63="Oui",'Paramètres'!$B$16="Oui"),L63*'Paramètres'!$B$15,0),0))</f>
        <v/>
      </c>
      <c r="O63" s="25">
        <f>IF(L63="","",IFERROR(L63+M63+N63,0))</f>
        <v/>
      </c>
      <c r="P63" s="25">
        <f>IF(A63="","",IFERROR(IF(E63="Encaissement",O63,0),0))</f>
        <v/>
      </c>
      <c r="Q63" s="25">
        <f>IF(A63="","",IFERROR(IF(E63="Décaissement",O63,0),0))</f>
        <v/>
      </c>
      <c r="R63" s="24" t="n"/>
      <c r="S63" s="25">
        <f>IF(R63="","",IFERROR(R63-O63,""))</f>
        <v/>
      </c>
      <c r="T63" s="20" t="n"/>
      <c r="U63" s="23" t="n"/>
      <c r="W63" s="26">
        <f>IF('Paramètres'!$B$8="","",IF(DATE(YEAR('Paramètres'!$B$8),MONTH('Paramètres'!$B$8)+59,1)&gt;'Paramètres'!$B$9,"",DATE(YEAR('Paramètres'!$B$8),MONTH('Paramètres'!$B$8)+59,1)))</f>
        <v/>
      </c>
      <c r="X63" s="27">
        <f>IF($W63="","",IFERROR($AB62,0))</f>
        <v/>
      </c>
      <c r="Y63" s="27">
        <f>IF($W63="","",IFERROR(SUMIFS($P$2:$P$101,$D$2:$D$101,TEXT($W63,"yyyy-mm"),$I$2:$I$101,"&lt;&gt;Annulé"),0))</f>
        <v/>
      </c>
      <c r="Z63" s="27">
        <f>IF($W63="","",IFERROR(SUMIFS($Q$2:$Q$101,$D$2:$D$101,TEXT($W63,"yyyy-mm"),$I$2:$I$101,"&lt;&gt;Annulé"),0))</f>
        <v/>
      </c>
      <c r="AA63" s="27">
        <f>IF($W63="","",IFERROR($Y63-$Z63,0))</f>
        <v/>
      </c>
      <c r="AB63" s="27">
        <f>IF($W63="","",IFERROR($X63+$AA63,0))</f>
        <v/>
      </c>
      <c r="AC63" s="27">
        <f>IF($W63="","",IFERROR('Paramètres'!$B$11,0))</f>
        <v/>
      </c>
      <c r="AD63" s="27">
        <f>IF($W63="","",IFERROR($AB63-$AC63,0))</f>
        <v/>
      </c>
      <c r="AE63" s="28">
        <f>IF($W63="","",IFERROR(IF($AB63&lt;$AC63,"À surveiller","OK"),"À vérifier"))</f>
        <v/>
      </c>
      <c r="AF63" s="27">
        <f>IF($W63="","",IFERROR(SUMIFS($R$2:$R$101,$D$2:$D$101,TEXT($W63,"yyyy-mm"),$E$2:$E$101,"Encaissement",$I$2:$I$101,"Réalisé"),0))</f>
        <v/>
      </c>
      <c r="AG63" s="27">
        <f>IF($W63="","",IFERROR(SUMIFS($R$2:$R$101,$D$2:$D$101,TEXT($W63,"yyyy-mm"),$E$2:$E$101,"Décaissement",$I$2:$I$101,"Réalisé"),0))</f>
        <v/>
      </c>
    </row>
    <row r="64">
      <c r="A64" s="20" t="n"/>
      <c r="B64" s="21" t="n"/>
      <c r="C64" s="21" t="n"/>
      <c r="D64" s="22">
        <f>IF(B64="","",IFERROR(TEXT(B64,"yyyy-mm"),""))</f>
        <v/>
      </c>
      <c r="E64" s="20" t="n"/>
      <c r="F64" s="20" t="n"/>
      <c r="G64" s="23" t="n"/>
      <c r="H64" s="23" t="n"/>
      <c r="I64" s="20" t="n"/>
      <c r="J64" s="20" t="n"/>
      <c r="K64" s="20" t="n"/>
      <c r="L64" s="24" t="n"/>
      <c r="M64" s="25">
        <f>IF(L64="","",IFERROR(IF(AND(J64="Oui",'Paramètres'!$B$16="Oui"),L64*'Paramètres'!$B$14,0),0))</f>
        <v/>
      </c>
      <c r="N64" s="25">
        <f>IF(L64="","",IFERROR(IF(AND(K64="Oui",'Paramètres'!$B$16="Oui"),L64*'Paramètres'!$B$15,0),0))</f>
        <v/>
      </c>
      <c r="O64" s="25">
        <f>IF(L64="","",IFERROR(L64+M64+N64,0))</f>
        <v/>
      </c>
      <c r="P64" s="25">
        <f>IF(A64="","",IFERROR(IF(E64="Encaissement",O64,0),0))</f>
        <v/>
      </c>
      <c r="Q64" s="25">
        <f>IF(A64="","",IFERROR(IF(E64="Décaissement",O64,0),0))</f>
        <v/>
      </c>
      <c r="R64" s="24" t="n"/>
      <c r="S64" s="25">
        <f>IF(R64="","",IFERROR(R64-O64,""))</f>
        <v/>
      </c>
      <c r="T64" s="20" t="n"/>
      <c r="U64" s="23" t="n"/>
      <c r="W64" s="26">
        <f>IF('Paramètres'!$B$8="","",IF(DATE(YEAR('Paramètres'!$B$8),MONTH('Paramètres'!$B$8)+60,1)&gt;'Paramètres'!$B$9,"",DATE(YEAR('Paramètres'!$B$8),MONTH('Paramètres'!$B$8)+60,1)))</f>
        <v/>
      </c>
      <c r="X64" s="27">
        <f>IF($W64="","",IFERROR($AB63,0))</f>
        <v/>
      </c>
      <c r="Y64" s="27">
        <f>IF($W64="","",IFERROR(SUMIFS($P$2:$P$101,$D$2:$D$101,TEXT($W64,"yyyy-mm"),$I$2:$I$101,"&lt;&gt;Annulé"),0))</f>
        <v/>
      </c>
      <c r="Z64" s="27">
        <f>IF($W64="","",IFERROR(SUMIFS($Q$2:$Q$101,$D$2:$D$101,TEXT($W64,"yyyy-mm"),$I$2:$I$101,"&lt;&gt;Annulé"),0))</f>
        <v/>
      </c>
      <c r="AA64" s="27">
        <f>IF($W64="","",IFERROR($Y64-$Z64,0))</f>
        <v/>
      </c>
      <c r="AB64" s="27">
        <f>IF($W64="","",IFERROR($X64+$AA64,0))</f>
        <v/>
      </c>
      <c r="AC64" s="27">
        <f>IF($W64="","",IFERROR('Paramètres'!$B$11,0))</f>
        <v/>
      </c>
      <c r="AD64" s="27">
        <f>IF($W64="","",IFERROR($AB64-$AC64,0))</f>
        <v/>
      </c>
      <c r="AE64" s="28">
        <f>IF($W64="","",IFERROR(IF($AB64&lt;$AC64,"À surveiller","OK"),"À vérifier"))</f>
        <v/>
      </c>
      <c r="AF64" s="27">
        <f>IF($W64="","",IFERROR(SUMIFS($R$2:$R$101,$D$2:$D$101,TEXT($W64,"yyyy-mm"),$E$2:$E$101,"Encaissement",$I$2:$I$101,"Réalisé"),0))</f>
        <v/>
      </c>
      <c r="AG64" s="27">
        <f>IF($W64="","",IFERROR(SUMIFS($R$2:$R$101,$D$2:$D$101,TEXT($W64,"yyyy-mm"),$E$2:$E$101,"Décaissement",$I$2:$I$101,"Réalisé"),0))</f>
        <v/>
      </c>
    </row>
    <row r="65">
      <c r="A65" s="20" t="n"/>
      <c r="B65" s="21" t="n"/>
      <c r="C65" s="21" t="n"/>
      <c r="D65" s="22">
        <f>IF(B65="","",IFERROR(TEXT(B65,"yyyy-mm"),""))</f>
        <v/>
      </c>
      <c r="E65" s="20" t="n"/>
      <c r="F65" s="20" t="n"/>
      <c r="G65" s="23" t="n"/>
      <c r="H65" s="23" t="n"/>
      <c r="I65" s="20" t="n"/>
      <c r="J65" s="20" t="n"/>
      <c r="K65" s="20" t="n"/>
      <c r="L65" s="24" t="n"/>
      <c r="M65" s="25">
        <f>IF(L65="","",IFERROR(IF(AND(J65="Oui",'Paramètres'!$B$16="Oui"),L65*'Paramètres'!$B$14,0),0))</f>
        <v/>
      </c>
      <c r="N65" s="25">
        <f>IF(L65="","",IFERROR(IF(AND(K65="Oui",'Paramètres'!$B$16="Oui"),L65*'Paramètres'!$B$15,0),0))</f>
        <v/>
      </c>
      <c r="O65" s="25">
        <f>IF(L65="","",IFERROR(L65+M65+N65,0))</f>
        <v/>
      </c>
      <c r="P65" s="25">
        <f>IF(A65="","",IFERROR(IF(E65="Encaissement",O65,0),0))</f>
        <v/>
      </c>
      <c r="Q65" s="25">
        <f>IF(A65="","",IFERROR(IF(E65="Décaissement",O65,0),0))</f>
        <v/>
      </c>
      <c r="R65" s="24" t="n"/>
      <c r="S65" s="25">
        <f>IF(R65="","",IFERROR(R65-O65,""))</f>
        <v/>
      </c>
      <c r="T65" s="20" t="n"/>
      <c r="U65" s="23" t="n"/>
      <c r="W65" s="26">
        <f>IF('Paramètres'!$B$8="","",IF(DATE(YEAR('Paramètres'!$B$8),MONTH('Paramètres'!$B$8)+61,1)&gt;'Paramètres'!$B$9,"",DATE(YEAR('Paramètres'!$B$8),MONTH('Paramètres'!$B$8)+61,1)))</f>
        <v/>
      </c>
      <c r="X65" s="27">
        <f>IF($W65="","",IFERROR($AB64,0))</f>
        <v/>
      </c>
      <c r="Y65" s="27">
        <f>IF($W65="","",IFERROR(SUMIFS($P$2:$P$101,$D$2:$D$101,TEXT($W65,"yyyy-mm"),$I$2:$I$101,"&lt;&gt;Annulé"),0))</f>
        <v/>
      </c>
      <c r="Z65" s="27">
        <f>IF($W65="","",IFERROR(SUMIFS($Q$2:$Q$101,$D$2:$D$101,TEXT($W65,"yyyy-mm"),$I$2:$I$101,"&lt;&gt;Annulé"),0))</f>
        <v/>
      </c>
      <c r="AA65" s="27">
        <f>IF($W65="","",IFERROR($Y65-$Z65,0))</f>
        <v/>
      </c>
      <c r="AB65" s="27">
        <f>IF($W65="","",IFERROR($X65+$AA65,0))</f>
        <v/>
      </c>
      <c r="AC65" s="27">
        <f>IF($W65="","",IFERROR('Paramètres'!$B$11,0))</f>
        <v/>
      </c>
      <c r="AD65" s="27">
        <f>IF($W65="","",IFERROR($AB65-$AC65,0))</f>
        <v/>
      </c>
      <c r="AE65" s="28">
        <f>IF($W65="","",IFERROR(IF($AB65&lt;$AC65,"À surveiller","OK"),"À vérifier"))</f>
        <v/>
      </c>
      <c r="AF65" s="27">
        <f>IF($W65="","",IFERROR(SUMIFS($R$2:$R$101,$D$2:$D$101,TEXT($W65,"yyyy-mm"),$E$2:$E$101,"Encaissement",$I$2:$I$101,"Réalisé"),0))</f>
        <v/>
      </c>
      <c r="AG65" s="27">
        <f>IF($W65="","",IFERROR(SUMIFS($R$2:$R$101,$D$2:$D$101,TEXT($W65,"yyyy-mm"),$E$2:$E$101,"Décaissement",$I$2:$I$101,"Réalisé"),0))</f>
        <v/>
      </c>
    </row>
    <row r="66">
      <c r="A66" s="20" t="n"/>
      <c r="B66" s="21" t="n"/>
      <c r="C66" s="21" t="n"/>
      <c r="D66" s="22">
        <f>IF(B66="","",IFERROR(TEXT(B66,"yyyy-mm"),""))</f>
        <v/>
      </c>
      <c r="E66" s="20" t="n"/>
      <c r="F66" s="20" t="n"/>
      <c r="G66" s="23" t="n"/>
      <c r="H66" s="23" t="n"/>
      <c r="I66" s="20" t="n"/>
      <c r="J66" s="20" t="n"/>
      <c r="K66" s="20" t="n"/>
      <c r="L66" s="24" t="n"/>
      <c r="M66" s="25">
        <f>IF(L66="","",IFERROR(IF(AND(J66="Oui",'Paramètres'!$B$16="Oui"),L66*'Paramètres'!$B$14,0),0))</f>
        <v/>
      </c>
      <c r="N66" s="25">
        <f>IF(L66="","",IFERROR(IF(AND(K66="Oui",'Paramètres'!$B$16="Oui"),L66*'Paramètres'!$B$15,0),0))</f>
        <v/>
      </c>
      <c r="O66" s="25">
        <f>IF(L66="","",IFERROR(L66+M66+N66,0))</f>
        <v/>
      </c>
      <c r="P66" s="25">
        <f>IF(A66="","",IFERROR(IF(E66="Encaissement",O66,0),0))</f>
        <v/>
      </c>
      <c r="Q66" s="25">
        <f>IF(A66="","",IFERROR(IF(E66="Décaissement",O66,0),0))</f>
        <v/>
      </c>
      <c r="R66" s="24" t="n"/>
      <c r="S66" s="25">
        <f>IF(R66="","",IFERROR(R66-O66,""))</f>
        <v/>
      </c>
      <c r="T66" s="20" t="n"/>
      <c r="U66" s="23" t="n"/>
      <c r="W66" s="26">
        <f>IF('Paramètres'!$B$8="","",IF(DATE(YEAR('Paramètres'!$B$8),MONTH('Paramètres'!$B$8)+62,1)&gt;'Paramètres'!$B$9,"",DATE(YEAR('Paramètres'!$B$8),MONTH('Paramètres'!$B$8)+62,1)))</f>
        <v/>
      </c>
      <c r="X66" s="27">
        <f>IF($W66="","",IFERROR($AB65,0))</f>
        <v/>
      </c>
      <c r="Y66" s="27">
        <f>IF($W66="","",IFERROR(SUMIFS($P$2:$P$101,$D$2:$D$101,TEXT($W66,"yyyy-mm"),$I$2:$I$101,"&lt;&gt;Annulé"),0))</f>
        <v/>
      </c>
      <c r="Z66" s="27">
        <f>IF($W66="","",IFERROR(SUMIFS($Q$2:$Q$101,$D$2:$D$101,TEXT($W66,"yyyy-mm"),$I$2:$I$101,"&lt;&gt;Annulé"),0))</f>
        <v/>
      </c>
      <c r="AA66" s="27">
        <f>IF($W66="","",IFERROR($Y66-$Z66,0))</f>
        <v/>
      </c>
      <c r="AB66" s="27">
        <f>IF($W66="","",IFERROR($X66+$AA66,0))</f>
        <v/>
      </c>
      <c r="AC66" s="27">
        <f>IF($W66="","",IFERROR('Paramètres'!$B$11,0))</f>
        <v/>
      </c>
      <c r="AD66" s="27">
        <f>IF($W66="","",IFERROR($AB66-$AC66,0))</f>
        <v/>
      </c>
      <c r="AE66" s="28">
        <f>IF($W66="","",IFERROR(IF($AB66&lt;$AC66,"À surveiller","OK"),"À vérifier"))</f>
        <v/>
      </c>
      <c r="AF66" s="27">
        <f>IF($W66="","",IFERROR(SUMIFS($R$2:$R$101,$D$2:$D$101,TEXT($W66,"yyyy-mm"),$E$2:$E$101,"Encaissement",$I$2:$I$101,"Réalisé"),0))</f>
        <v/>
      </c>
      <c r="AG66" s="27">
        <f>IF($W66="","",IFERROR(SUMIFS($R$2:$R$101,$D$2:$D$101,TEXT($W66,"yyyy-mm"),$E$2:$E$101,"Décaissement",$I$2:$I$101,"Réalisé"),0))</f>
        <v/>
      </c>
    </row>
    <row r="67">
      <c r="A67" s="20" t="n"/>
      <c r="B67" s="21" t="n"/>
      <c r="C67" s="21" t="n"/>
      <c r="D67" s="22">
        <f>IF(B67="","",IFERROR(TEXT(B67,"yyyy-mm"),""))</f>
        <v/>
      </c>
      <c r="E67" s="20" t="n"/>
      <c r="F67" s="20" t="n"/>
      <c r="G67" s="23" t="n"/>
      <c r="H67" s="23" t="n"/>
      <c r="I67" s="20" t="n"/>
      <c r="J67" s="20" t="n"/>
      <c r="K67" s="20" t="n"/>
      <c r="L67" s="24" t="n"/>
      <c r="M67" s="25">
        <f>IF(L67="","",IFERROR(IF(AND(J67="Oui",'Paramètres'!$B$16="Oui"),L67*'Paramètres'!$B$14,0),0))</f>
        <v/>
      </c>
      <c r="N67" s="25">
        <f>IF(L67="","",IFERROR(IF(AND(K67="Oui",'Paramètres'!$B$16="Oui"),L67*'Paramètres'!$B$15,0),0))</f>
        <v/>
      </c>
      <c r="O67" s="25">
        <f>IF(L67="","",IFERROR(L67+M67+N67,0))</f>
        <v/>
      </c>
      <c r="P67" s="25">
        <f>IF(A67="","",IFERROR(IF(E67="Encaissement",O67,0),0))</f>
        <v/>
      </c>
      <c r="Q67" s="25">
        <f>IF(A67="","",IFERROR(IF(E67="Décaissement",O67,0),0))</f>
        <v/>
      </c>
      <c r="R67" s="24" t="n"/>
      <c r="S67" s="25">
        <f>IF(R67="","",IFERROR(R67-O67,""))</f>
        <v/>
      </c>
      <c r="T67" s="20" t="n"/>
      <c r="U67" s="23" t="n"/>
      <c r="W67" s="26">
        <f>IF('Paramètres'!$B$8="","",IF(DATE(YEAR('Paramètres'!$B$8),MONTH('Paramètres'!$B$8)+63,1)&gt;'Paramètres'!$B$9,"",DATE(YEAR('Paramètres'!$B$8),MONTH('Paramètres'!$B$8)+63,1)))</f>
        <v/>
      </c>
      <c r="X67" s="27">
        <f>IF($W67="","",IFERROR($AB66,0))</f>
        <v/>
      </c>
      <c r="Y67" s="27">
        <f>IF($W67="","",IFERROR(SUMIFS($P$2:$P$101,$D$2:$D$101,TEXT($W67,"yyyy-mm"),$I$2:$I$101,"&lt;&gt;Annulé"),0))</f>
        <v/>
      </c>
      <c r="Z67" s="27">
        <f>IF($W67="","",IFERROR(SUMIFS($Q$2:$Q$101,$D$2:$D$101,TEXT($W67,"yyyy-mm"),$I$2:$I$101,"&lt;&gt;Annulé"),0))</f>
        <v/>
      </c>
      <c r="AA67" s="27">
        <f>IF($W67="","",IFERROR($Y67-$Z67,0))</f>
        <v/>
      </c>
      <c r="AB67" s="27">
        <f>IF($W67="","",IFERROR($X67+$AA67,0))</f>
        <v/>
      </c>
      <c r="AC67" s="27">
        <f>IF($W67="","",IFERROR('Paramètres'!$B$11,0))</f>
        <v/>
      </c>
      <c r="AD67" s="27">
        <f>IF($W67="","",IFERROR($AB67-$AC67,0))</f>
        <v/>
      </c>
      <c r="AE67" s="28">
        <f>IF($W67="","",IFERROR(IF($AB67&lt;$AC67,"À surveiller","OK"),"À vérifier"))</f>
        <v/>
      </c>
      <c r="AF67" s="27">
        <f>IF($W67="","",IFERROR(SUMIFS($R$2:$R$101,$D$2:$D$101,TEXT($W67,"yyyy-mm"),$E$2:$E$101,"Encaissement",$I$2:$I$101,"Réalisé"),0))</f>
        <v/>
      </c>
      <c r="AG67" s="27">
        <f>IF($W67="","",IFERROR(SUMIFS($R$2:$R$101,$D$2:$D$101,TEXT($W67,"yyyy-mm"),$E$2:$E$101,"Décaissement",$I$2:$I$101,"Réalisé"),0))</f>
        <v/>
      </c>
    </row>
    <row r="68">
      <c r="A68" s="20" t="n"/>
      <c r="B68" s="21" t="n"/>
      <c r="C68" s="21" t="n"/>
      <c r="D68" s="22">
        <f>IF(B68="","",IFERROR(TEXT(B68,"yyyy-mm"),""))</f>
        <v/>
      </c>
      <c r="E68" s="20" t="n"/>
      <c r="F68" s="20" t="n"/>
      <c r="G68" s="23" t="n"/>
      <c r="H68" s="23" t="n"/>
      <c r="I68" s="20" t="n"/>
      <c r="J68" s="20" t="n"/>
      <c r="K68" s="20" t="n"/>
      <c r="L68" s="24" t="n"/>
      <c r="M68" s="25">
        <f>IF(L68="","",IFERROR(IF(AND(J68="Oui",'Paramètres'!$B$16="Oui"),L68*'Paramètres'!$B$14,0),0))</f>
        <v/>
      </c>
      <c r="N68" s="25">
        <f>IF(L68="","",IFERROR(IF(AND(K68="Oui",'Paramètres'!$B$16="Oui"),L68*'Paramètres'!$B$15,0),0))</f>
        <v/>
      </c>
      <c r="O68" s="25">
        <f>IF(L68="","",IFERROR(L68+M68+N68,0))</f>
        <v/>
      </c>
      <c r="P68" s="25">
        <f>IF(A68="","",IFERROR(IF(E68="Encaissement",O68,0),0))</f>
        <v/>
      </c>
      <c r="Q68" s="25">
        <f>IF(A68="","",IFERROR(IF(E68="Décaissement",O68,0),0))</f>
        <v/>
      </c>
      <c r="R68" s="24" t="n"/>
      <c r="S68" s="25">
        <f>IF(R68="","",IFERROR(R68-O68,""))</f>
        <v/>
      </c>
      <c r="T68" s="20" t="n"/>
      <c r="U68" s="23" t="n"/>
      <c r="W68" s="26">
        <f>IF('Paramètres'!$B$8="","",IF(DATE(YEAR('Paramètres'!$B$8),MONTH('Paramètres'!$B$8)+64,1)&gt;'Paramètres'!$B$9,"",DATE(YEAR('Paramètres'!$B$8),MONTH('Paramètres'!$B$8)+64,1)))</f>
        <v/>
      </c>
      <c r="X68" s="27">
        <f>IF($W68="","",IFERROR($AB67,0))</f>
        <v/>
      </c>
      <c r="Y68" s="27">
        <f>IF($W68="","",IFERROR(SUMIFS($P$2:$P$101,$D$2:$D$101,TEXT($W68,"yyyy-mm"),$I$2:$I$101,"&lt;&gt;Annulé"),0))</f>
        <v/>
      </c>
      <c r="Z68" s="27">
        <f>IF($W68="","",IFERROR(SUMIFS($Q$2:$Q$101,$D$2:$D$101,TEXT($W68,"yyyy-mm"),$I$2:$I$101,"&lt;&gt;Annulé"),0))</f>
        <v/>
      </c>
      <c r="AA68" s="27">
        <f>IF($W68="","",IFERROR($Y68-$Z68,0))</f>
        <v/>
      </c>
      <c r="AB68" s="27">
        <f>IF($W68="","",IFERROR($X68+$AA68,0))</f>
        <v/>
      </c>
      <c r="AC68" s="27">
        <f>IF($W68="","",IFERROR('Paramètres'!$B$11,0))</f>
        <v/>
      </c>
      <c r="AD68" s="27">
        <f>IF($W68="","",IFERROR($AB68-$AC68,0))</f>
        <v/>
      </c>
      <c r="AE68" s="28">
        <f>IF($W68="","",IFERROR(IF($AB68&lt;$AC68,"À surveiller","OK"),"À vérifier"))</f>
        <v/>
      </c>
      <c r="AF68" s="27">
        <f>IF($W68="","",IFERROR(SUMIFS($R$2:$R$101,$D$2:$D$101,TEXT($W68,"yyyy-mm"),$E$2:$E$101,"Encaissement",$I$2:$I$101,"Réalisé"),0))</f>
        <v/>
      </c>
      <c r="AG68" s="27">
        <f>IF($W68="","",IFERROR(SUMIFS($R$2:$R$101,$D$2:$D$101,TEXT($W68,"yyyy-mm"),$E$2:$E$101,"Décaissement",$I$2:$I$101,"Réalisé"),0))</f>
        <v/>
      </c>
    </row>
    <row r="69">
      <c r="A69" s="20" t="n"/>
      <c r="B69" s="21" t="n"/>
      <c r="C69" s="21" t="n"/>
      <c r="D69" s="22">
        <f>IF(B69="","",IFERROR(TEXT(B69,"yyyy-mm"),""))</f>
        <v/>
      </c>
      <c r="E69" s="20" t="n"/>
      <c r="F69" s="20" t="n"/>
      <c r="G69" s="23" t="n"/>
      <c r="H69" s="23" t="n"/>
      <c r="I69" s="20" t="n"/>
      <c r="J69" s="20" t="n"/>
      <c r="K69" s="20" t="n"/>
      <c r="L69" s="24" t="n"/>
      <c r="M69" s="25">
        <f>IF(L69="","",IFERROR(IF(AND(J69="Oui",'Paramètres'!$B$16="Oui"),L69*'Paramètres'!$B$14,0),0))</f>
        <v/>
      </c>
      <c r="N69" s="25">
        <f>IF(L69="","",IFERROR(IF(AND(K69="Oui",'Paramètres'!$B$16="Oui"),L69*'Paramètres'!$B$15,0),0))</f>
        <v/>
      </c>
      <c r="O69" s="25">
        <f>IF(L69="","",IFERROR(L69+M69+N69,0))</f>
        <v/>
      </c>
      <c r="P69" s="25">
        <f>IF(A69="","",IFERROR(IF(E69="Encaissement",O69,0),0))</f>
        <v/>
      </c>
      <c r="Q69" s="25">
        <f>IF(A69="","",IFERROR(IF(E69="Décaissement",O69,0),0))</f>
        <v/>
      </c>
      <c r="R69" s="24" t="n"/>
      <c r="S69" s="25">
        <f>IF(R69="","",IFERROR(R69-O69,""))</f>
        <v/>
      </c>
      <c r="T69" s="20" t="n"/>
      <c r="U69" s="23" t="n"/>
      <c r="W69" s="26">
        <f>IF('Paramètres'!$B$8="","",IF(DATE(YEAR('Paramètres'!$B$8),MONTH('Paramètres'!$B$8)+65,1)&gt;'Paramètres'!$B$9,"",DATE(YEAR('Paramètres'!$B$8),MONTH('Paramètres'!$B$8)+65,1)))</f>
        <v/>
      </c>
      <c r="X69" s="27">
        <f>IF($W69="","",IFERROR($AB68,0))</f>
        <v/>
      </c>
      <c r="Y69" s="27">
        <f>IF($W69="","",IFERROR(SUMIFS($P$2:$P$101,$D$2:$D$101,TEXT($W69,"yyyy-mm"),$I$2:$I$101,"&lt;&gt;Annulé"),0))</f>
        <v/>
      </c>
      <c r="Z69" s="27">
        <f>IF($W69="","",IFERROR(SUMIFS($Q$2:$Q$101,$D$2:$D$101,TEXT($W69,"yyyy-mm"),$I$2:$I$101,"&lt;&gt;Annulé"),0))</f>
        <v/>
      </c>
      <c r="AA69" s="27">
        <f>IF($W69="","",IFERROR($Y69-$Z69,0))</f>
        <v/>
      </c>
      <c r="AB69" s="27">
        <f>IF($W69="","",IFERROR($X69+$AA69,0))</f>
        <v/>
      </c>
      <c r="AC69" s="27">
        <f>IF($W69="","",IFERROR('Paramètres'!$B$11,0))</f>
        <v/>
      </c>
      <c r="AD69" s="27">
        <f>IF($W69="","",IFERROR($AB69-$AC69,0))</f>
        <v/>
      </c>
      <c r="AE69" s="28">
        <f>IF($W69="","",IFERROR(IF($AB69&lt;$AC69,"À surveiller","OK"),"À vérifier"))</f>
        <v/>
      </c>
      <c r="AF69" s="27">
        <f>IF($W69="","",IFERROR(SUMIFS($R$2:$R$101,$D$2:$D$101,TEXT($W69,"yyyy-mm"),$E$2:$E$101,"Encaissement",$I$2:$I$101,"Réalisé"),0))</f>
        <v/>
      </c>
      <c r="AG69" s="27">
        <f>IF($W69="","",IFERROR(SUMIFS($R$2:$R$101,$D$2:$D$101,TEXT($W69,"yyyy-mm"),$E$2:$E$101,"Décaissement",$I$2:$I$101,"Réalisé"),0))</f>
        <v/>
      </c>
    </row>
    <row r="70">
      <c r="A70" s="20" t="n"/>
      <c r="B70" s="21" t="n"/>
      <c r="C70" s="21" t="n"/>
      <c r="D70" s="22">
        <f>IF(B70="","",IFERROR(TEXT(B70,"yyyy-mm"),""))</f>
        <v/>
      </c>
      <c r="E70" s="20" t="n"/>
      <c r="F70" s="20" t="n"/>
      <c r="G70" s="23" t="n"/>
      <c r="H70" s="23" t="n"/>
      <c r="I70" s="20" t="n"/>
      <c r="J70" s="20" t="n"/>
      <c r="K70" s="20" t="n"/>
      <c r="L70" s="24" t="n"/>
      <c r="M70" s="25">
        <f>IF(L70="","",IFERROR(IF(AND(J70="Oui",'Paramètres'!$B$16="Oui"),L70*'Paramètres'!$B$14,0),0))</f>
        <v/>
      </c>
      <c r="N70" s="25">
        <f>IF(L70="","",IFERROR(IF(AND(K70="Oui",'Paramètres'!$B$16="Oui"),L70*'Paramètres'!$B$15,0),0))</f>
        <v/>
      </c>
      <c r="O70" s="25">
        <f>IF(L70="","",IFERROR(L70+M70+N70,0))</f>
        <v/>
      </c>
      <c r="P70" s="25">
        <f>IF(A70="","",IFERROR(IF(E70="Encaissement",O70,0),0))</f>
        <v/>
      </c>
      <c r="Q70" s="25">
        <f>IF(A70="","",IFERROR(IF(E70="Décaissement",O70,0),0))</f>
        <v/>
      </c>
      <c r="R70" s="24" t="n"/>
      <c r="S70" s="25">
        <f>IF(R70="","",IFERROR(R70-O70,""))</f>
        <v/>
      </c>
      <c r="T70" s="20" t="n"/>
      <c r="U70" s="23" t="n"/>
      <c r="W70" s="26">
        <f>IF('Paramètres'!$B$8="","",IF(DATE(YEAR('Paramètres'!$B$8),MONTH('Paramètres'!$B$8)+66,1)&gt;'Paramètres'!$B$9,"",DATE(YEAR('Paramètres'!$B$8),MONTH('Paramètres'!$B$8)+66,1)))</f>
        <v/>
      </c>
      <c r="X70" s="27">
        <f>IF($W70="","",IFERROR($AB69,0))</f>
        <v/>
      </c>
      <c r="Y70" s="27">
        <f>IF($W70="","",IFERROR(SUMIFS($P$2:$P$101,$D$2:$D$101,TEXT($W70,"yyyy-mm"),$I$2:$I$101,"&lt;&gt;Annulé"),0))</f>
        <v/>
      </c>
      <c r="Z70" s="27">
        <f>IF($W70="","",IFERROR(SUMIFS($Q$2:$Q$101,$D$2:$D$101,TEXT($W70,"yyyy-mm"),$I$2:$I$101,"&lt;&gt;Annulé"),0))</f>
        <v/>
      </c>
      <c r="AA70" s="27">
        <f>IF($W70="","",IFERROR($Y70-$Z70,0))</f>
        <v/>
      </c>
      <c r="AB70" s="27">
        <f>IF($W70="","",IFERROR($X70+$AA70,0))</f>
        <v/>
      </c>
      <c r="AC70" s="27">
        <f>IF($W70="","",IFERROR('Paramètres'!$B$11,0))</f>
        <v/>
      </c>
      <c r="AD70" s="27">
        <f>IF($W70="","",IFERROR($AB70-$AC70,0))</f>
        <v/>
      </c>
      <c r="AE70" s="28">
        <f>IF($W70="","",IFERROR(IF($AB70&lt;$AC70,"À surveiller","OK"),"À vérifier"))</f>
        <v/>
      </c>
      <c r="AF70" s="27">
        <f>IF($W70="","",IFERROR(SUMIFS($R$2:$R$101,$D$2:$D$101,TEXT($W70,"yyyy-mm"),$E$2:$E$101,"Encaissement",$I$2:$I$101,"Réalisé"),0))</f>
        <v/>
      </c>
      <c r="AG70" s="27">
        <f>IF($W70="","",IFERROR(SUMIFS($R$2:$R$101,$D$2:$D$101,TEXT($W70,"yyyy-mm"),$E$2:$E$101,"Décaissement",$I$2:$I$101,"Réalisé"),0))</f>
        <v/>
      </c>
    </row>
    <row r="71">
      <c r="A71" s="20" t="n"/>
      <c r="B71" s="21" t="n"/>
      <c r="C71" s="21" t="n"/>
      <c r="D71" s="22">
        <f>IF(B71="","",IFERROR(TEXT(B71,"yyyy-mm"),""))</f>
        <v/>
      </c>
      <c r="E71" s="20" t="n"/>
      <c r="F71" s="20" t="n"/>
      <c r="G71" s="23" t="n"/>
      <c r="H71" s="23" t="n"/>
      <c r="I71" s="20" t="n"/>
      <c r="J71" s="20" t="n"/>
      <c r="K71" s="20" t="n"/>
      <c r="L71" s="24" t="n"/>
      <c r="M71" s="25">
        <f>IF(L71="","",IFERROR(IF(AND(J71="Oui",'Paramètres'!$B$16="Oui"),L71*'Paramètres'!$B$14,0),0))</f>
        <v/>
      </c>
      <c r="N71" s="25">
        <f>IF(L71="","",IFERROR(IF(AND(K71="Oui",'Paramètres'!$B$16="Oui"),L71*'Paramètres'!$B$15,0),0))</f>
        <v/>
      </c>
      <c r="O71" s="25">
        <f>IF(L71="","",IFERROR(L71+M71+N71,0))</f>
        <v/>
      </c>
      <c r="P71" s="25">
        <f>IF(A71="","",IFERROR(IF(E71="Encaissement",O71,0),0))</f>
        <v/>
      </c>
      <c r="Q71" s="25">
        <f>IF(A71="","",IFERROR(IF(E71="Décaissement",O71,0),0))</f>
        <v/>
      </c>
      <c r="R71" s="24" t="n"/>
      <c r="S71" s="25">
        <f>IF(R71="","",IFERROR(R71-O71,""))</f>
        <v/>
      </c>
      <c r="T71" s="20" t="n"/>
      <c r="U71" s="23" t="n"/>
      <c r="W71" s="26">
        <f>IF('Paramètres'!$B$8="","",IF(DATE(YEAR('Paramètres'!$B$8),MONTH('Paramètres'!$B$8)+67,1)&gt;'Paramètres'!$B$9,"",DATE(YEAR('Paramètres'!$B$8),MONTH('Paramètres'!$B$8)+67,1)))</f>
        <v/>
      </c>
      <c r="X71" s="27">
        <f>IF($W71="","",IFERROR($AB70,0))</f>
        <v/>
      </c>
      <c r="Y71" s="27">
        <f>IF($W71="","",IFERROR(SUMIFS($P$2:$P$101,$D$2:$D$101,TEXT($W71,"yyyy-mm"),$I$2:$I$101,"&lt;&gt;Annulé"),0))</f>
        <v/>
      </c>
      <c r="Z71" s="27">
        <f>IF($W71="","",IFERROR(SUMIFS($Q$2:$Q$101,$D$2:$D$101,TEXT($W71,"yyyy-mm"),$I$2:$I$101,"&lt;&gt;Annulé"),0))</f>
        <v/>
      </c>
      <c r="AA71" s="27">
        <f>IF($W71="","",IFERROR($Y71-$Z71,0))</f>
        <v/>
      </c>
      <c r="AB71" s="27">
        <f>IF($W71="","",IFERROR($X71+$AA71,0))</f>
        <v/>
      </c>
      <c r="AC71" s="27">
        <f>IF($W71="","",IFERROR('Paramètres'!$B$11,0))</f>
        <v/>
      </c>
      <c r="AD71" s="27">
        <f>IF($W71="","",IFERROR($AB71-$AC71,0))</f>
        <v/>
      </c>
      <c r="AE71" s="28">
        <f>IF($W71="","",IFERROR(IF($AB71&lt;$AC71,"À surveiller","OK"),"À vérifier"))</f>
        <v/>
      </c>
      <c r="AF71" s="27">
        <f>IF($W71="","",IFERROR(SUMIFS($R$2:$R$101,$D$2:$D$101,TEXT($W71,"yyyy-mm"),$E$2:$E$101,"Encaissement",$I$2:$I$101,"Réalisé"),0))</f>
        <v/>
      </c>
      <c r="AG71" s="27">
        <f>IF($W71="","",IFERROR(SUMIFS($R$2:$R$101,$D$2:$D$101,TEXT($W71,"yyyy-mm"),$E$2:$E$101,"Décaissement",$I$2:$I$101,"Réalisé"),0))</f>
        <v/>
      </c>
    </row>
    <row r="72">
      <c r="A72" s="20" t="n"/>
      <c r="B72" s="21" t="n"/>
      <c r="C72" s="21" t="n"/>
      <c r="D72" s="22">
        <f>IF(B72="","",IFERROR(TEXT(B72,"yyyy-mm"),""))</f>
        <v/>
      </c>
      <c r="E72" s="20" t="n"/>
      <c r="F72" s="20" t="n"/>
      <c r="G72" s="23" t="n"/>
      <c r="H72" s="23" t="n"/>
      <c r="I72" s="20" t="n"/>
      <c r="J72" s="20" t="n"/>
      <c r="K72" s="20" t="n"/>
      <c r="L72" s="24" t="n"/>
      <c r="M72" s="25">
        <f>IF(L72="","",IFERROR(IF(AND(J72="Oui",'Paramètres'!$B$16="Oui"),L72*'Paramètres'!$B$14,0),0))</f>
        <v/>
      </c>
      <c r="N72" s="25">
        <f>IF(L72="","",IFERROR(IF(AND(K72="Oui",'Paramètres'!$B$16="Oui"),L72*'Paramètres'!$B$15,0),0))</f>
        <v/>
      </c>
      <c r="O72" s="25">
        <f>IF(L72="","",IFERROR(L72+M72+N72,0))</f>
        <v/>
      </c>
      <c r="P72" s="25">
        <f>IF(A72="","",IFERROR(IF(E72="Encaissement",O72,0),0))</f>
        <v/>
      </c>
      <c r="Q72" s="25">
        <f>IF(A72="","",IFERROR(IF(E72="Décaissement",O72,0),0))</f>
        <v/>
      </c>
      <c r="R72" s="24" t="n"/>
      <c r="S72" s="25">
        <f>IF(R72="","",IFERROR(R72-O72,""))</f>
        <v/>
      </c>
      <c r="T72" s="20" t="n"/>
      <c r="U72" s="23" t="n"/>
      <c r="W72" s="26">
        <f>IF('Paramètres'!$B$8="","",IF(DATE(YEAR('Paramètres'!$B$8),MONTH('Paramètres'!$B$8)+68,1)&gt;'Paramètres'!$B$9,"",DATE(YEAR('Paramètres'!$B$8),MONTH('Paramètres'!$B$8)+68,1)))</f>
        <v/>
      </c>
      <c r="X72" s="27">
        <f>IF($W72="","",IFERROR($AB71,0))</f>
        <v/>
      </c>
      <c r="Y72" s="27">
        <f>IF($W72="","",IFERROR(SUMIFS($P$2:$P$101,$D$2:$D$101,TEXT($W72,"yyyy-mm"),$I$2:$I$101,"&lt;&gt;Annulé"),0))</f>
        <v/>
      </c>
      <c r="Z72" s="27">
        <f>IF($W72="","",IFERROR(SUMIFS($Q$2:$Q$101,$D$2:$D$101,TEXT($W72,"yyyy-mm"),$I$2:$I$101,"&lt;&gt;Annulé"),0))</f>
        <v/>
      </c>
      <c r="AA72" s="27">
        <f>IF($W72="","",IFERROR($Y72-$Z72,0))</f>
        <v/>
      </c>
      <c r="AB72" s="27">
        <f>IF($W72="","",IFERROR($X72+$AA72,0))</f>
        <v/>
      </c>
      <c r="AC72" s="27">
        <f>IF($W72="","",IFERROR('Paramètres'!$B$11,0))</f>
        <v/>
      </c>
      <c r="AD72" s="27">
        <f>IF($W72="","",IFERROR($AB72-$AC72,0))</f>
        <v/>
      </c>
      <c r="AE72" s="28">
        <f>IF($W72="","",IFERROR(IF($AB72&lt;$AC72,"À surveiller","OK"),"À vérifier"))</f>
        <v/>
      </c>
      <c r="AF72" s="27">
        <f>IF($W72="","",IFERROR(SUMIFS($R$2:$R$101,$D$2:$D$101,TEXT($W72,"yyyy-mm"),$E$2:$E$101,"Encaissement",$I$2:$I$101,"Réalisé"),0))</f>
        <v/>
      </c>
      <c r="AG72" s="27">
        <f>IF($W72="","",IFERROR(SUMIFS($R$2:$R$101,$D$2:$D$101,TEXT($W72,"yyyy-mm"),$E$2:$E$101,"Décaissement",$I$2:$I$101,"Réalisé"),0))</f>
        <v/>
      </c>
    </row>
    <row r="73">
      <c r="A73" s="20" t="n"/>
      <c r="B73" s="21" t="n"/>
      <c r="C73" s="21" t="n"/>
      <c r="D73" s="22">
        <f>IF(B73="","",IFERROR(TEXT(B73,"yyyy-mm"),""))</f>
        <v/>
      </c>
      <c r="E73" s="20" t="n"/>
      <c r="F73" s="20" t="n"/>
      <c r="G73" s="23" t="n"/>
      <c r="H73" s="23" t="n"/>
      <c r="I73" s="20" t="n"/>
      <c r="J73" s="20" t="n"/>
      <c r="K73" s="20" t="n"/>
      <c r="L73" s="24" t="n"/>
      <c r="M73" s="25">
        <f>IF(L73="","",IFERROR(IF(AND(J73="Oui",'Paramètres'!$B$16="Oui"),L73*'Paramètres'!$B$14,0),0))</f>
        <v/>
      </c>
      <c r="N73" s="25">
        <f>IF(L73="","",IFERROR(IF(AND(K73="Oui",'Paramètres'!$B$16="Oui"),L73*'Paramètres'!$B$15,0),0))</f>
        <v/>
      </c>
      <c r="O73" s="25">
        <f>IF(L73="","",IFERROR(L73+M73+N73,0))</f>
        <v/>
      </c>
      <c r="P73" s="25">
        <f>IF(A73="","",IFERROR(IF(E73="Encaissement",O73,0),0))</f>
        <v/>
      </c>
      <c r="Q73" s="25">
        <f>IF(A73="","",IFERROR(IF(E73="Décaissement",O73,0),0))</f>
        <v/>
      </c>
      <c r="R73" s="24" t="n"/>
      <c r="S73" s="25">
        <f>IF(R73="","",IFERROR(R73-O73,""))</f>
        <v/>
      </c>
      <c r="T73" s="20" t="n"/>
      <c r="U73" s="23" t="n"/>
      <c r="W73" s="26">
        <f>IF('Paramètres'!$B$8="","",IF(DATE(YEAR('Paramètres'!$B$8),MONTH('Paramètres'!$B$8)+69,1)&gt;'Paramètres'!$B$9,"",DATE(YEAR('Paramètres'!$B$8),MONTH('Paramètres'!$B$8)+69,1)))</f>
        <v/>
      </c>
      <c r="X73" s="27">
        <f>IF($W73="","",IFERROR($AB72,0))</f>
        <v/>
      </c>
      <c r="Y73" s="27">
        <f>IF($W73="","",IFERROR(SUMIFS($P$2:$P$101,$D$2:$D$101,TEXT($W73,"yyyy-mm"),$I$2:$I$101,"&lt;&gt;Annulé"),0))</f>
        <v/>
      </c>
      <c r="Z73" s="27">
        <f>IF($W73="","",IFERROR(SUMIFS($Q$2:$Q$101,$D$2:$D$101,TEXT($W73,"yyyy-mm"),$I$2:$I$101,"&lt;&gt;Annulé"),0))</f>
        <v/>
      </c>
      <c r="AA73" s="27">
        <f>IF($W73="","",IFERROR($Y73-$Z73,0))</f>
        <v/>
      </c>
      <c r="AB73" s="27">
        <f>IF($W73="","",IFERROR($X73+$AA73,0))</f>
        <v/>
      </c>
      <c r="AC73" s="27">
        <f>IF($W73="","",IFERROR('Paramètres'!$B$11,0))</f>
        <v/>
      </c>
      <c r="AD73" s="27">
        <f>IF($W73="","",IFERROR($AB73-$AC73,0))</f>
        <v/>
      </c>
      <c r="AE73" s="28">
        <f>IF($W73="","",IFERROR(IF($AB73&lt;$AC73,"À surveiller","OK"),"À vérifier"))</f>
        <v/>
      </c>
      <c r="AF73" s="27">
        <f>IF($W73="","",IFERROR(SUMIFS($R$2:$R$101,$D$2:$D$101,TEXT($W73,"yyyy-mm"),$E$2:$E$101,"Encaissement",$I$2:$I$101,"Réalisé"),0))</f>
        <v/>
      </c>
      <c r="AG73" s="27">
        <f>IF($W73="","",IFERROR(SUMIFS($R$2:$R$101,$D$2:$D$101,TEXT($W73,"yyyy-mm"),$E$2:$E$101,"Décaissement",$I$2:$I$101,"Réalisé"),0))</f>
        <v/>
      </c>
    </row>
    <row r="74">
      <c r="A74" s="20" t="n"/>
      <c r="B74" s="21" t="n"/>
      <c r="C74" s="21" t="n"/>
      <c r="D74" s="22">
        <f>IF(B74="","",IFERROR(TEXT(B74,"yyyy-mm"),""))</f>
        <v/>
      </c>
      <c r="E74" s="20" t="n"/>
      <c r="F74" s="20" t="n"/>
      <c r="G74" s="23" t="n"/>
      <c r="H74" s="23" t="n"/>
      <c r="I74" s="20" t="n"/>
      <c r="J74" s="20" t="n"/>
      <c r="K74" s="20" t="n"/>
      <c r="L74" s="24" t="n"/>
      <c r="M74" s="25">
        <f>IF(L74="","",IFERROR(IF(AND(J74="Oui",'Paramètres'!$B$16="Oui"),L74*'Paramètres'!$B$14,0),0))</f>
        <v/>
      </c>
      <c r="N74" s="25">
        <f>IF(L74="","",IFERROR(IF(AND(K74="Oui",'Paramètres'!$B$16="Oui"),L74*'Paramètres'!$B$15,0),0))</f>
        <v/>
      </c>
      <c r="O74" s="25">
        <f>IF(L74="","",IFERROR(L74+M74+N74,0))</f>
        <v/>
      </c>
      <c r="P74" s="25">
        <f>IF(A74="","",IFERROR(IF(E74="Encaissement",O74,0),0))</f>
        <v/>
      </c>
      <c r="Q74" s="25">
        <f>IF(A74="","",IFERROR(IF(E74="Décaissement",O74,0),0))</f>
        <v/>
      </c>
      <c r="R74" s="24" t="n"/>
      <c r="S74" s="25">
        <f>IF(R74="","",IFERROR(R74-O74,""))</f>
        <v/>
      </c>
      <c r="T74" s="20" t="n"/>
      <c r="U74" s="23" t="n"/>
      <c r="W74" s="26">
        <f>IF('Paramètres'!$B$8="","",IF(DATE(YEAR('Paramètres'!$B$8),MONTH('Paramètres'!$B$8)+70,1)&gt;'Paramètres'!$B$9,"",DATE(YEAR('Paramètres'!$B$8),MONTH('Paramètres'!$B$8)+70,1)))</f>
        <v/>
      </c>
      <c r="X74" s="27">
        <f>IF($W74="","",IFERROR($AB73,0))</f>
        <v/>
      </c>
      <c r="Y74" s="27">
        <f>IF($W74="","",IFERROR(SUMIFS($P$2:$P$101,$D$2:$D$101,TEXT($W74,"yyyy-mm"),$I$2:$I$101,"&lt;&gt;Annulé"),0))</f>
        <v/>
      </c>
      <c r="Z74" s="27">
        <f>IF($W74="","",IFERROR(SUMIFS($Q$2:$Q$101,$D$2:$D$101,TEXT($W74,"yyyy-mm"),$I$2:$I$101,"&lt;&gt;Annulé"),0))</f>
        <v/>
      </c>
      <c r="AA74" s="27">
        <f>IF($W74="","",IFERROR($Y74-$Z74,0))</f>
        <v/>
      </c>
      <c r="AB74" s="27">
        <f>IF($W74="","",IFERROR($X74+$AA74,0))</f>
        <v/>
      </c>
      <c r="AC74" s="27">
        <f>IF($W74="","",IFERROR('Paramètres'!$B$11,0))</f>
        <v/>
      </c>
      <c r="AD74" s="27">
        <f>IF($W74="","",IFERROR($AB74-$AC74,0))</f>
        <v/>
      </c>
      <c r="AE74" s="28">
        <f>IF($W74="","",IFERROR(IF($AB74&lt;$AC74,"À surveiller","OK"),"À vérifier"))</f>
        <v/>
      </c>
      <c r="AF74" s="27">
        <f>IF($W74="","",IFERROR(SUMIFS($R$2:$R$101,$D$2:$D$101,TEXT($W74,"yyyy-mm"),$E$2:$E$101,"Encaissement",$I$2:$I$101,"Réalisé"),0))</f>
        <v/>
      </c>
      <c r="AG74" s="27">
        <f>IF($W74="","",IFERROR(SUMIFS($R$2:$R$101,$D$2:$D$101,TEXT($W74,"yyyy-mm"),$E$2:$E$101,"Décaissement",$I$2:$I$101,"Réalisé"),0))</f>
        <v/>
      </c>
    </row>
    <row r="75">
      <c r="A75" s="20" t="n"/>
      <c r="B75" s="21" t="n"/>
      <c r="C75" s="21" t="n"/>
      <c r="D75" s="22">
        <f>IF(B75="","",IFERROR(TEXT(B75,"yyyy-mm"),""))</f>
        <v/>
      </c>
      <c r="E75" s="20" t="n"/>
      <c r="F75" s="20" t="n"/>
      <c r="G75" s="23" t="n"/>
      <c r="H75" s="23" t="n"/>
      <c r="I75" s="20" t="n"/>
      <c r="J75" s="20" t="n"/>
      <c r="K75" s="20" t="n"/>
      <c r="L75" s="24" t="n"/>
      <c r="M75" s="25">
        <f>IF(L75="","",IFERROR(IF(AND(J75="Oui",'Paramètres'!$B$16="Oui"),L75*'Paramètres'!$B$14,0),0))</f>
        <v/>
      </c>
      <c r="N75" s="25">
        <f>IF(L75="","",IFERROR(IF(AND(K75="Oui",'Paramètres'!$B$16="Oui"),L75*'Paramètres'!$B$15,0),0))</f>
        <v/>
      </c>
      <c r="O75" s="25">
        <f>IF(L75="","",IFERROR(L75+M75+N75,0))</f>
        <v/>
      </c>
      <c r="P75" s="25">
        <f>IF(A75="","",IFERROR(IF(E75="Encaissement",O75,0),0))</f>
        <v/>
      </c>
      <c r="Q75" s="25">
        <f>IF(A75="","",IFERROR(IF(E75="Décaissement",O75,0),0))</f>
        <v/>
      </c>
      <c r="R75" s="24" t="n"/>
      <c r="S75" s="25">
        <f>IF(R75="","",IFERROR(R75-O75,""))</f>
        <v/>
      </c>
      <c r="T75" s="20" t="n"/>
      <c r="U75" s="23" t="n"/>
      <c r="W75" s="26">
        <f>IF('Paramètres'!$B$8="","",IF(DATE(YEAR('Paramètres'!$B$8),MONTH('Paramètres'!$B$8)+71,1)&gt;'Paramètres'!$B$9,"",DATE(YEAR('Paramètres'!$B$8),MONTH('Paramètres'!$B$8)+71,1)))</f>
        <v/>
      </c>
      <c r="X75" s="27">
        <f>IF($W75="","",IFERROR($AB74,0))</f>
        <v/>
      </c>
      <c r="Y75" s="27">
        <f>IF($W75="","",IFERROR(SUMIFS($P$2:$P$101,$D$2:$D$101,TEXT($W75,"yyyy-mm"),$I$2:$I$101,"&lt;&gt;Annulé"),0))</f>
        <v/>
      </c>
      <c r="Z75" s="27">
        <f>IF($W75="","",IFERROR(SUMIFS($Q$2:$Q$101,$D$2:$D$101,TEXT($W75,"yyyy-mm"),$I$2:$I$101,"&lt;&gt;Annulé"),0))</f>
        <v/>
      </c>
      <c r="AA75" s="27">
        <f>IF($W75="","",IFERROR($Y75-$Z75,0))</f>
        <v/>
      </c>
      <c r="AB75" s="27">
        <f>IF($W75="","",IFERROR($X75+$AA75,0))</f>
        <v/>
      </c>
      <c r="AC75" s="27">
        <f>IF($W75="","",IFERROR('Paramètres'!$B$11,0))</f>
        <v/>
      </c>
      <c r="AD75" s="27">
        <f>IF($W75="","",IFERROR($AB75-$AC75,0))</f>
        <v/>
      </c>
      <c r="AE75" s="28">
        <f>IF($W75="","",IFERROR(IF($AB75&lt;$AC75,"À surveiller","OK"),"À vérifier"))</f>
        <v/>
      </c>
      <c r="AF75" s="27">
        <f>IF($W75="","",IFERROR(SUMIFS($R$2:$R$101,$D$2:$D$101,TEXT($W75,"yyyy-mm"),$E$2:$E$101,"Encaissement",$I$2:$I$101,"Réalisé"),0))</f>
        <v/>
      </c>
      <c r="AG75" s="27">
        <f>IF($W75="","",IFERROR(SUMIFS($R$2:$R$101,$D$2:$D$101,TEXT($W75,"yyyy-mm"),$E$2:$E$101,"Décaissement",$I$2:$I$101,"Réalisé"),0))</f>
        <v/>
      </c>
    </row>
    <row r="76">
      <c r="A76" s="20" t="n"/>
      <c r="B76" s="21" t="n"/>
      <c r="C76" s="21" t="n"/>
      <c r="D76" s="22">
        <f>IF(B76="","",IFERROR(TEXT(B76,"yyyy-mm"),""))</f>
        <v/>
      </c>
      <c r="E76" s="20" t="n"/>
      <c r="F76" s="20" t="n"/>
      <c r="G76" s="23" t="n"/>
      <c r="H76" s="23" t="n"/>
      <c r="I76" s="20" t="n"/>
      <c r="J76" s="20" t="n"/>
      <c r="K76" s="20" t="n"/>
      <c r="L76" s="24" t="n"/>
      <c r="M76" s="25">
        <f>IF(L76="","",IFERROR(IF(AND(J76="Oui",'Paramètres'!$B$16="Oui"),L76*'Paramètres'!$B$14,0),0))</f>
        <v/>
      </c>
      <c r="N76" s="25">
        <f>IF(L76="","",IFERROR(IF(AND(K76="Oui",'Paramètres'!$B$16="Oui"),L76*'Paramètres'!$B$15,0),0))</f>
        <v/>
      </c>
      <c r="O76" s="25">
        <f>IF(L76="","",IFERROR(L76+M76+N76,0))</f>
        <v/>
      </c>
      <c r="P76" s="25">
        <f>IF(A76="","",IFERROR(IF(E76="Encaissement",O76,0),0))</f>
        <v/>
      </c>
      <c r="Q76" s="25">
        <f>IF(A76="","",IFERROR(IF(E76="Décaissement",O76,0),0))</f>
        <v/>
      </c>
      <c r="R76" s="24" t="n"/>
      <c r="S76" s="25">
        <f>IF(R76="","",IFERROR(R76-O76,""))</f>
        <v/>
      </c>
      <c r="T76" s="20" t="n"/>
      <c r="U76" s="23" t="n"/>
      <c r="W76" s="26">
        <f>IF('Paramètres'!$B$8="","",IF(DATE(YEAR('Paramètres'!$B$8),MONTH('Paramètres'!$B$8)+72,1)&gt;'Paramètres'!$B$9,"",DATE(YEAR('Paramètres'!$B$8),MONTH('Paramètres'!$B$8)+72,1)))</f>
        <v/>
      </c>
      <c r="X76" s="27">
        <f>IF($W76="","",IFERROR($AB75,0))</f>
        <v/>
      </c>
      <c r="Y76" s="27">
        <f>IF($W76="","",IFERROR(SUMIFS($P$2:$P$101,$D$2:$D$101,TEXT($W76,"yyyy-mm"),$I$2:$I$101,"&lt;&gt;Annulé"),0))</f>
        <v/>
      </c>
      <c r="Z76" s="27">
        <f>IF($W76="","",IFERROR(SUMIFS($Q$2:$Q$101,$D$2:$D$101,TEXT($W76,"yyyy-mm"),$I$2:$I$101,"&lt;&gt;Annulé"),0))</f>
        <v/>
      </c>
      <c r="AA76" s="27">
        <f>IF($W76="","",IFERROR($Y76-$Z76,0))</f>
        <v/>
      </c>
      <c r="AB76" s="27">
        <f>IF($W76="","",IFERROR($X76+$AA76,0))</f>
        <v/>
      </c>
      <c r="AC76" s="27">
        <f>IF($W76="","",IFERROR('Paramètres'!$B$11,0))</f>
        <v/>
      </c>
      <c r="AD76" s="27">
        <f>IF($W76="","",IFERROR($AB76-$AC76,0))</f>
        <v/>
      </c>
      <c r="AE76" s="28">
        <f>IF($W76="","",IFERROR(IF($AB76&lt;$AC76,"À surveiller","OK"),"À vérifier"))</f>
        <v/>
      </c>
      <c r="AF76" s="27">
        <f>IF($W76="","",IFERROR(SUMIFS($R$2:$R$101,$D$2:$D$101,TEXT($W76,"yyyy-mm"),$E$2:$E$101,"Encaissement",$I$2:$I$101,"Réalisé"),0))</f>
        <v/>
      </c>
      <c r="AG76" s="27">
        <f>IF($W76="","",IFERROR(SUMIFS($R$2:$R$101,$D$2:$D$101,TEXT($W76,"yyyy-mm"),$E$2:$E$101,"Décaissement",$I$2:$I$101,"Réalisé"),0))</f>
        <v/>
      </c>
    </row>
    <row r="77">
      <c r="A77" s="20" t="n"/>
      <c r="B77" s="21" t="n"/>
      <c r="C77" s="21" t="n"/>
      <c r="D77" s="22">
        <f>IF(B77="","",IFERROR(TEXT(B77,"yyyy-mm"),""))</f>
        <v/>
      </c>
      <c r="E77" s="20" t="n"/>
      <c r="F77" s="20" t="n"/>
      <c r="G77" s="23" t="n"/>
      <c r="H77" s="23" t="n"/>
      <c r="I77" s="20" t="n"/>
      <c r="J77" s="20" t="n"/>
      <c r="K77" s="20" t="n"/>
      <c r="L77" s="24" t="n"/>
      <c r="M77" s="25">
        <f>IF(L77="","",IFERROR(IF(AND(J77="Oui",'Paramètres'!$B$16="Oui"),L77*'Paramètres'!$B$14,0),0))</f>
        <v/>
      </c>
      <c r="N77" s="25">
        <f>IF(L77="","",IFERROR(IF(AND(K77="Oui",'Paramètres'!$B$16="Oui"),L77*'Paramètres'!$B$15,0),0))</f>
        <v/>
      </c>
      <c r="O77" s="25">
        <f>IF(L77="","",IFERROR(L77+M77+N77,0))</f>
        <v/>
      </c>
      <c r="P77" s="25">
        <f>IF(A77="","",IFERROR(IF(E77="Encaissement",O77,0),0))</f>
        <v/>
      </c>
      <c r="Q77" s="25">
        <f>IF(A77="","",IFERROR(IF(E77="Décaissement",O77,0),0))</f>
        <v/>
      </c>
      <c r="R77" s="24" t="n"/>
      <c r="S77" s="25">
        <f>IF(R77="","",IFERROR(R77-O77,""))</f>
        <v/>
      </c>
      <c r="T77" s="20" t="n"/>
      <c r="U77" s="23" t="n"/>
      <c r="W77" s="26">
        <f>IF('Paramètres'!$B$8="","",IF(DATE(YEAR('Paramètres'!$B$8),MONTH('Paramètres'!$B$8)+73,1)&gt;'Paramètres'!$B$9,"",DATE(YEAR('Paramètres'!$B$8),MONTH('Paramètres'!$B$8)+73,1)))</f>
        <v/>
      </c>
      <c r="X77" s="27">
        <f>IF($W77="","",IFERROR($AB76,0))</f>
        <v/>
      </c>
      <c r="Y77" s="27">
        <f>IF($W77="","",IFERROR(SUMIFS($P$2:$P$101,$D$2:$D$101,TEXT($W77,"yyyy-mm"),$I$2:$I$101,"&lt;&gt;Annulé"),0))</f>
        <v/>
      </c>
      <c r="Z77" s="27">
        <f>IF($W77="","",IFERROR(SUMIFS($Q$2:$Q$101,$D$2:$D$101,TEXT($W77,"yyyy-mm"),$I$2:$I$101,"&lt;&gt;Annulé"),0))</f>
        <v/>
      </c>
      <c r="AA77" s="27">
        <f>IF($W77="","",IFERROR($Y77-$Z77,0))</f>
        <v/>
      </c>
      <c r="AB77" s="27">
        <f>IF($W77="","",IFERROR($X77+$AA77,0))</f>
        <v/>
      </c>
      <c r="AC77" s="27">
        <f>IF($W77="","",IFERROR('Paramètres'!$B$11,0))</f>
        <v/>
      </c>
      <c r="AD77" s="27">
        <f>IF($W77="","",IFERROR($AB77-$AC77,0))</f>
        <v/>
      </c>
      <c r="AE77" s="28">
        <f>IF($W77="","",IFERROR(IF($AB77&lt;$AC77,"À surveiller","OK"),"À vérifier"))</f>
        <v/>
      </c>
      <c r="AF77" s="27">
        <f>IF($W77="","",IFERROR(SUMIFS($R$2:$R$101,$D$2:$D$101,TEXT($W77,"yyyy-mm"),$E$2:$E$101,"Encaissement",$I$2:$I$101,"Réalisé"),0))</f>
        <v/>
      </c>
      <c r="AG77" s="27">
        <f>IF($W77="","",IFERROR(SUMIFS($R$2:$R$101,$D$2:$D$101,TEXT($W77,"yyyy-mm"),$E$2:$E$101,"Décaissement",$I$2:$I$101,"Réalisé"),0))</f>
        <v/>
      </c>
    </row>
    <row r="78">
      <c r="A78" s="20" t="n"/>
      <c r="B78" s="21" t="n"/>
      <c r="C78" s="21" t="n"/>
      <c r="D78" s="22">
        <f>IF(B78="","",IFERROR(TEXT(B78,"yyyy-mm"),""))</f>
        <v/>
      </c>
      <c r="E78" s="20" t="n"/>
      <c r="F78" s="20" t="n"/>
      <c r="G78" s="23" t="n"/>
      <c r="H78" s="23" t="n"/>
      <c r="I78" s="20" t="n"/>
      <c r="J78" s="20" t="n"/>
      <c r="K78" s="20" t="n"/>
      <c r="L78" s="24" t="n"/>
      <c r="M78" s="25">
        <f>IF(L78="","",IFERROR(IF(AND(J78="Oui",'Paramètres'!$B$16="Oui"),L78*'Paramètres'!$B$14,0),0))</f>
        <v/>
      </c>
      <c r="N78" s="25">
        <f>IF(L78="","",IFERROR(IF(AND(K78="Oui",'Paramètres'!$B$16="Oui"),L78*'Paramètres'!$B$15,0),0))</f>
        <v/>
      </c>
      <c r="O78" s="25">
        <f>IF(L78="","",IFERROR(L78+M78+N78,0))</f>
        <v/>
      </c>
      <c r="P78" s="25">
        <f>IF(A78="","",IFERROR(IF(E78="Encaissement",O78,0),0))</f>
        <v/>
      </c>
      <c r="Q78" s="25">
        <f>IF(A78="","",IFERROR(IF(E78="Décaissement",O78,0),0))</f>
        <v/>
      </c>
      <c r="R78" s="24" t="n"/>
      <c r="S78" s="25">
        <f>IF(R78="","",IFERROR(R78-O78,""))</f>
        <v/>
      </c>
      <c r="T78" s="20" t="n"/>
      <c r="U78" s="23" t="n"/>
      <c r="W78" s="26">
        <f>IF('Paramètres'!$B$8="","",IF(DATE(YEAR('Paramètres'!$B$8),MONTH('Paramètres'!$B$8)+74,1)&gt;'Paramètres'!$B$9,"",DATE(YEAR('Paramètres'!$B$8),MONTH('Paramètres'!$B$8)+74,1)))</f>
        <v/>
      </c>
      <c r="X78" s="27">
        <f>IF($W78="","",IFERROR($AB77,0))</f>
        <v/>
      </c>
      <c r="Y78" s="27">
        <f>IF($W78="","",IFERROR(SUMIFS($P$2:$P$101,$D$2:$D$101,TEXT($W78,"yyyy-mm"),$I$2:$I$101,"&lt;&gt;Annulé"),0))</f>
        <v/>
      </c>
      <c r="Z78" s="27">
        <f>IF($W78="","",IFERROR(SUMIFS($Q$2:$Q$101,$D$2:$D$101,TEXT($W78,"yyyy-mm"),$I$2:$I$101,"&lt;&gt;Annulé"),0))</f>
        <v/>
      </c>
      <c r="AA78" s="27">
        <f>IF($W78="","",IFERROR($Y78-$Z78,0))</f>
        <v/>
      </c>
      <c r="AB78" s="27">
        <f>IF($W78="","",IFERROR($X78+$AA78,0))</f>
        <v/>
      </c>
      <c r="AC78" s="27">
        <f>IF($W78="","",IFERROR('Paramètres'!$B$11,0))</f>
        <v/>
      </c>
      <c r="AD78" s="27">
        <f>IF($W78="","",IFERROR($AB78-$AC78,0))</f>
        <v/>
      </c>
      <c r="AE78" s="28">
        <f>IF($W78="","",IFERROR(IF($AB78&lt;$AC78,"À surveiller","OK"),"À vérifier"))</f>
        <v/>
      </c>
      <c r="AF78" s="27">
        <f>IF($W78="","",IFERROR(SUMIFS($R$2:$R$101,$D$2:$D$101,TEXT($W78,"yyyy-mm"),$E$2:$E$101,"Encaissement",$I$2:$I$101,"Réalisé"),0))</f>
        <v/>
      </c>
      <c r="AG78" s="27">
        <f>IF($W78="","",IFERROR(SUMIFS($R$2:$R$101,$D$2:$D$101,TEXT($W78,"yyyy-mm"),$E$2:$E$101,"Décaissement",$I$2:$I$101,"Réalisé"),0))</f>
        <v/>
      </c>
    </row>
    <row r="79">
      <c r="A79" s="20" t="n"/>
      <c r="B79" s="21" t="n"/>
      <c r="C79" s="21" t="n"/>
      <c r="D79" s="22">
        <f>IF(B79="","",IFERROR(TEXT(B79,"yyyy-mm"),""))</f>
        <v/>
      </c>
      <c r="E79" s="20" t="n"/>
      <c r="F79" s="20" t="n"/>
      <c r="G79" s="23" t="n"/>
      <c r="H79" s="23" t="n"/>
      <c r="I79" s="20" t="n"/>
      <c r="J79" s="20" t="n"/>
      <c r="K79" s="20" t="n"/>
      <c r="L79" s="24" t="n"/>
      <c r="M79" s="25">
        <f>IF(L79="","",IFERROR(IF(AND(J79="Oui",'Paramètres'!$B$16="Oui"),L79*'Paramètres'!$B$14,0),0))</f>
        <v/>
      </c>
      <c r="N79" s="25">
        <f>IF(L79="","",IFERROR(IF(AND(K79="Oui",'Paramètres'!$B$16="Oui"),L79*'Paramètres'!$B$15,0),0))</f>
        <v/>
      </c>
      <c r="O79" s="25">
        <f>IF(L79="","",IFERROR(L79+M79+N79,0))</f>
        <v/>
      </c>
      <c r="P79" s="25">
        <f>IF(A79="","",IFERROR(IF(E79="Encaissement",O79,0),0))</f>
        <v/>
      </c>
      <c r="Q79" s="25">
        <f>IF(A79="","",IFERROR(IF(E79="Décaissement",O79,0),0))</f>
        <v/>
      </c>
      <c r="R79" s="24" t="n"/>
      <c r="S79" s="25">
        <f>IF(R79="","",IFERROR(R79-O79,""))</f>
        <v/>
      </c>
      <c r="T79" s="20" t="n"/>
      <c r="U79" s="23" t="n"/>
      <c r="W79" s="26">
        <f>IF('Paramètres'!$B$8="","",IF(DATE(YEAR('Paramètres'!$B$8),MONTH('Paramètres'!$B$8)+75,1)&gt;'Paramètres'!$B$9,"",DATE(YEAR('Paramètres'!$B$8),MONTH('Paramètres'!$B$8)+75,1)))</f>
        <v/>
      </c>
      <c r="X79" s="27">
        <f>IF($W79="","",IFERROR($AB78,0))</f>
        <v/>
      </c>
      <c r="Y79" s="27">
        <f>IF($W79="","",IFERROR(SUMIFS($P$2:$P$101,$D$2:$D$101,TEXT($W79,"yyyy-mm"),$I$2:$I$101,"&lt;&gt;Annulé"),0))</f>
        <v/>
      </c>
      <c r="Z79" s="27">
        <f>IF($W79="","",IFERROR(SUMIFS($Q$2:$Q$101,$D$2:$D$101,TEXT($W79,"yyyy-mm"),$I$2:$I$101,"&lt;&gt;Annulé"),0))</f>
        <v/>
      </c>
      <c r="AA79" s="27">
        <f>IF($W79="","",IFERROR($Y79-$Z79,0))</f>
        <v/>
      </c>
      <c r="AB79" s="27">
        <f>IF($W79="","",IFERROR($X79+$AA79,0))</f>
        <v/>
      </c>
      <c r="AC79" s="27">
        <f>IF($W79="","",IFERROR('Paramètres'!$B$11,0))</f>
        <v/>
      </c>
      <c r="AD79" s="27">
        <f>IF($W79="","",IFERROR($AB79-$AC79,0))</f>
        <v/>
      </c>
      <c r="AE79" s="28">
        <f>IF($W79="","",IFERROR(IF($AB79&lt;$AC79,"À surveiller","OK"),"À vérifier"))</f>
        <v/>
      </c>
      <c r="AF79" s="27">
        <f>IF($W79="","",IFERROR(SUMIFS($R$2:$R$101,$D$2:$D$101,TEXT($W79,"yyyy-mm"),$E$2:$E$101,"Encaissement",$I$2:$I$101,"Réalisé"),0))</f>
        <v/>
      </c>
      <c r="AG79" s="27">
        <f>IF($W79="","",IFERROR(SUMIFS($R$2:$R$101,$D$2:$D$101,TEXT($W79,"yyyy-mm"),$E$2:$E$101,"Décaissement",$I$2:$I$101,"Réalisé"),0))</f>
        <v/>
      </c>
    </row>
    <row r="80">
      <c r="A80" s="20" t="n"/>
      <c r="B80" s="21" t="n"/>
      <c r="C80" s="21" t="n"/>
      <c r="D80" s="22">
        <f>IF(B80="","",IFERROR(TEXT(B80,"yyyy-mm"),""))</f>
        <v/>
      </c>
      <c r="E80" s="20" t="n"/>
      <c r="F80" s="20" t="n"/>
      <c r="G80" s="23" t="n"/>
      <c r="H80" s="23" t="n"/>
      <c r="I80" s="20" t="n"/>
      <c r="J80" s="20" t="n"/>
      <c r="K80" s="20" t="n"/>
      <c r="L80" s="24" t="n"/>
      <c r="M80" s="25">
        <f>IF(L80="","",IFERROR(IF(AND(J80="Oui",'Paramètres'!$B$16="Oui"),L80*'Paramètres'!$B$14,0),0))</f>
        <v/>
      </c>
      <c r="N80" s="25">
        <f>IF(L80="","",IFERROR(IF(AND(K80="Oui",'Paramètres'!$B$16="Oui"),L80*'Paramètres'!$B$15,0),0))</f>
        <v/>
      </c>
      <c r="O80" s="25">
        <f>IF(L80="","",IFERROR(L80+M80+N80,0))</f>
        <v/>
      </c>
      <c r="P80" s="25">
        <f>IF(A80="","",IFERROR(IF(E80="Encaissement",O80,0),0))</f>
        <v/>
      </c>
      <c r="Q80" s="25">
        <f>IF(A80="","",IFERROR(IF(E80="Décaissement",O80,0),0))</f>
        <v/>
      </c>
      <c r="R80" s="24" t="n"/>
      <c r="S80" s="25">
        <f>IF(R80="","",IFERROR(R80-O80,""))</f>
        <v/>
      </c>
      <c r="T80" s="20" t="n"/>
      <c r="U80" s="23" t="n"/>
      <c r="W80" s="26">
        <f>IF('Paramètres'!$B$8="","",IF(DATE(YEAR('Paramètres'!$B$8),MONTH('Paramètres'!$B$8)+76,1)&gt;'Paramètres'!$B$9,"",DATE(YEAR('Paramètres'!$B$8),MONTH('Paramètres'!$B$8)+76,1)))</f>
        <v/>
      </c>
      <c r="X80" s="27">
        <f>IF($W80="","",IFERROR($AB79,0))</f>
        <v/>
      </c>
      <c r="Y80" s="27">
        <f>IF($W80="","",IFERROR(SUMIFS($P$2:$P$101,$D$2:$D$101,TEXT($W80,"yyyy-mm"),$I$2:$I$101,"&lt;&gt;Annulé"),0))</f>
        <v/>
      </c>
      <c r="Z80" s="27">
        <f>IF($W80="","",IFERROR(SUMIFS($Q$2:$Q$101,$D$2:$D$101,TEXT($W80,"yyyy-mm"),$I$2:$I$101,"&lt;&gt;Annulé"),0))</f>
        <v/>
      </c>
      <c r="AA80" s="27">
        <f>IF($W80="","",IFERROR($Y80-$Z80,0))</f>
        <v/>
      </c>
      <c r="AB80" s="27">
        <f>IF($W80="","",IFERROR($X80+$AA80,0))</f>
        <v/>
      </c>
      <c r="AC80" s="27">
        <f>IF($W80="","",IFERROR('Paramètres'!$B$11,0))</f>
        <v/>
      </c>
      <c r="AD80" s="27">
        <f>IF($W80="","",IFERROR($AB80-$AC80,0))</f>
        <v/>
      </c>
      <c r="AE80" s="28">
        <f>IF($W80="","",IFERROR(IF($AB80&lt;$AC80,"À surveiller","OK"),"À vérifier"))</f>
        <v/>
      </c>
      <c r="AF80" s="27">
        <f>IF($W80="","",IFERROR(SUMIFS($R$2:$R$101,$D$2:$D$101,TEXT($W80,"yyyy-mm"),$E$2:$E$101,"Encaissement",$I$2:$I$101,"Réalisé"),0))</f>
        <v/>
      </c>
      <c r="AG80" s="27">
        <f>IF($W80="","",IFERROR(SUMIFS($R$2:$R$101,$D$2:$D$101,TEXT($W80,"yyyy-mm"),$E$2:$E$101,"Décaissement",$I$2:$I$101,"Réalisé"),0))</f>
        <v/>
      </c>
    </row>
    <row r="81">
      <c r="A81" s="20" t="n"/>
      <c r="B81" s="21" t="n"/>
      <c r="C81" s="21" t="n"/>
      <c r="D81" s="22">
        <f>IF(B81="","",IFERROR(TEXT(B81,"yyyy-mm"),""))</f>
        <v/>
      </c>
      <c r="E81" s="20" t="n"/>
      <c r="F81" s="20" t="n"/>
      <c r="G81" s="23" t="n"/>
      <c r="H81" s="23" t="n"/>
      <c r="I81" s="20" t="n"/>
      <c r="J81" s="20" t="n"/>
      <c r="K81" s="20" t="n"/>
      <c r="L81" s="24" t="n"/>
      <c r="M81" s="25">
        <f>IF(L81="","",IFERROR(IF(AND(J81="Oui",'Paramètres'!$B$16="Oui"),L81*'Paramètres'!$B$14,0),0))</f>
        <v/>
      </c>
      <c r="N81" s="25">
        <f>IF(L81="","",IFERROR(IF(AND(K81="Oui",'Paramètres'!$B$16="Oui"),L81*'Paramètres'!$B$15,0),0))</f>
        <v/>
      </c>
      <c r="O81" s="25">
        <f>IF(L81="","",IFERROR(L81+M81+N81,0))</f>
        <v/>
      </c>
      <c r="P81" s="25">
        <f>IF(A81="","",IFERROR(IF(E81="Encaissement",O81,0),0))</f>
        <v/>
      </c>
      <c r="Q81" s="25">
        <f>IF(A81="","",IFERROR(IF(E81="Décaissement",O81,0),0))</f>
        <v/>
      </c>
      <c r="R81" s="24" t="n"/>
      <c r="S81" s="25">
        <f>IF(R81="","",IFERROR(R81-O81,""))</f>
        <v/>
      </c>
      <c r="T81" s="20" t="n"/>
      <c r="U81" s="23" t="n"/>
      <c r="W81" s="26">
        <f>IF('Paramètres'!$B$8="","",IF(DATE(YEAR('Paramètres'!$B$8),MONTH('Paramètres'!$B$8)+77,1)&gt;'Paramètres'!$B$9,"",DATE(YEAR('Paramètres'!$B$8),MONTH('Paramètres'!$B$8)+77,1)))</f>
        <v/>
      </c>
      <c r="X81" s="27">
        <f>IF($W81="","",IFERROR($AB80,0))</f>
        <v/>
      </c>
      <c r="Y81" s="27">
        <f>IF($W81="","",IFERROR(SUMIFS($P$2:$P$101,$D$2:$D$101,TEXT($W81,"yyyy-mm"),$I$2:$I$101,"&lt;&gt;Annulé"),0))</f>
        <v/>
      </c>
      <c r="Z81" s="27">
        <f>IF($W81="","",IFERROR(SUMIFS($Q$2:$Q$101,$D$2:$D$101,TEXT($W81,"yyyy-mm"),$I$2:$I$101,"&lt;&gt;Annulé"),0))</f>
        <v/>
      </c>
      <c r="AA81" s="27">
        <f>IF($W81="","",IFERROR($Y81-$Z81,0))</f>
        <v/>
      </c>
      <c r="AB81" s="27">
        <f>IF($W81="","",IFERROR($X81+$AA81,0))</f>
        <v/>
      </c>
      <c r="AC81" s="27">
        <f>IF($W81="","",IFERROR('Paramètres'!$B$11,0))</f>
        <v/>
      </c>
      <c r="AD81" s="27">
        <f>IF($W81="","",IFERROR($AB81-$AC81,0))</f>
        <v/>
      </c>
      <c r="AE81" s="28">
        <f>IF($W81="","",IFERROR(IF($AB81&lt;$AC81,"À surveiller","OK"),"À vérifier"))</f>
        <v/>
      </c>
      <c r="AF81" s="27">
        <f>IF($W81="","",IFERROR(SUMIFS($R$2:$R$101,$D$2:$D$101,TEXT($W81,"yyyy-mm"),$E$2:$E$101,"Encaissement",$I$2:$I$101,"Réalisé"),0))</f>
        <v/>
      </c>
      <c r="AG81" s="27">
        <f>IF($W81="","",IFERROR(SUMIFS($R$2:$R$101,$D$2:$D$101,TEXT($W81,"yyyy-mm"),$E$2:$E$101,"Décaissement",$I$2:$I$101,"Réalisé"),0))</f>
        <v/>
      </c>
    </row>
    <row r="82">
      <c r="A82" s="20" t="n"/>
      <c r="B82" s="21" t="n"/>
      <c r="C82" s="21" t="n"/>
      <c r="D82" s="22">
        <f>IF(B82="","",IFERROR(TEXT(B82,"yyyy-mm"),""))</f>
        <v/>
      </c>
      <c r="E82" s="20" t="n"/>
      <c r="F82" s="20" t="n"/>
      <c r="G82" s="23" t="n"/>
      <c r="H82" s="23" t="n"/>
      <c r="I82" s="20" t="n"/>
      <c r="J82" s="20" t="n"/>
      <c r="K82" s="20" t="n"/>
      <c r="L82" s="24" t="n"/>
      <c r="M82" s="25">
        <f>IF(L82="","",IFERROR(IF(AND(J82="Oui",'Paramètres'!$B$16="Oui"),L82*'Paramètres'!$B$14,0),0))</f>
        <v/>
      </c>
      <c r="N82" s="25">
        <f>IF(L82="","",IFERROR(IF(AND(K82="Oui",'Paramètres'!$B$16="Oui"),L82*'Paramètres'!$B$15,0),0))</f>
        <v/>
      </c>
      <c r="O82" s="25">
        <f>IF(L82="","",IFERROR(L82+M82+N82,0))</f>
        <v/>
      </c>
      <c r="P82" s="25">
        <f>IF(A82="","",IFERROR(IF(E82="Encaissement",O82,0),0))</f>
        <v/>
      </c>
      <c r="Q82" s="25">
        <f>IF(A82="","",IFERROR(IF(E82="Décaissement",O82,0),0))</f>
        <v/>
      </c>
      <c r="R82" s="24" t="n"/>
      <c r="S82" s="25">
        <f>IF(R82="","",IFERROR(R82-O82,""))</f>
        <v/>
      </c>
      <c r="T82" s="20" t="n"/>
      <c r="U82" s="23" t="n"/>
      <c r="W82" s="26">
        <f>IF('Paramètres'!$B$8="","",IF(DATE(YEAR('Paramètres'!$B$8),MONTH('Paramètres'!$B$8)+78,1)&gt;'Paramètres'!$B$9,"",DATE(YEAR('Paramètres'!$B$8),MONTH('Paramètres'!$B$8)+78,1)))</f>
        <v/>
      </c>
      <c r="X82" s="27">
        <f>IF($W82="","",IFERROR($AB81,0))</f>
        <v/>
      </c>
      <c r="Y82" s="27">
        <f>IF($W82="","",IFERROR(SUMIFS($P$2:$P$101,$D$2:$D$101,TEXT($W82,"yyyy-mm"),$I$2:$I$101,"&lt;&gt;Annulé"),0))</f>
        <v/>
      </c>
      <c r="Z82" s="27">
        <f>IF($W82="","",IFERROR(SUMIFS($Q$2:$Q$101,$D$2:$D$101,TEXT($W82,"yyyy-mm"),$I$2:$I$101,"&lt;&gt;Annulé"),0))</f>
        <v/>
      </c>
      <c r="AA82" s="27">
        <f>IF($W82="","",IFERROR($Y82-$Z82,0))</f>
        <v/>
      </c>
      <c r="AB82" s="27">
        <f>IF($W82="","",IFERROR($X82+$AA82,0))</f>
        <v/>
      </c>
      <c r="AC82" s="27">
        <f>IF($W82="","",IFERROR('Paramètres'!$B$11,0))</f>
        <v/>
      </c>
      <c r="AD82" s="27">
        <f>IF($W82="","",IFERROR($AB82-$AC82,0))</f>
        <v/>
      </c>
      <c r="AE82" s="28">
        <f>IF($W82="","",IFERROR(IF($AB82&lt;$AC82,"À surveiller","OK"),"À vérifier"))</f>
        <v/>
      </c>
      <c r="AF82" s="27">
        <f>IF($W82="","",IFERROR(SUMIFS($R$2:$R$101,$D$2:$D$101,TEXT($W82,"yyyy-mm"),$E$2:$E$101,"Encaissement",$I$2:$I$101,"Réalisé"),0))</f>
        <v/>
      </c>
      <c r="AG82" s="27">
        <f>IF($W82="","",IFERROR(SUMIFS($R$2:$R$101,$D$2:$D$101,TEXT($W82,"yyyy-mm"),$E$2:$E$101,"Décaissement",$I$2:$I$101,"Réalisé"),0))</f>
        <v/>
      </c>
    </row>
    <row r="83">
      <c r="A83" s="20" t="n"/>
      <c r="B83" s="21" t="n"/>
      <c r="C83" s="21" t="n"/>
      <c r="D83" s="22">
        <f>IF(B83="","",IFERROR(TEXT(B83,"yyyy-mm"),""))</f>
        <v/>
      </c>
      <c r="E83" s="20" t="n"/>
      <c r="F83" s="20" t="n"/>
      <c r="G83" s="23" t="n"/>
      <c r="H83" s="23" t="n"/>
      <c r="I83" s="20" t="n"/>
      <c r="J83" s="20" t="n"/>
      <c r="K83" s="20" t="n"/>
      <c r="L83" s="24" t="n"/>
      <c r="M83" s="25">
        <f>IF(L83="","",IFERROR(IF(AND(J83="Oui",'Paramètres'!$B$16="Oui"),L83*'Paramètres'!$B$14,0),0))</f>
        <v/>
      </c>
      <c r="N83" s="25">
        <f>IF(L83="","",IFERROR(IF(AND(K83="Oui",'Paramètres'!$B$16="Oui"),L83*'Paramètres'!$B$15,0),0))</f>
        <v/>
      </c>
      <c r="O83" s="25">
        <f>IF(L83="","",IFERROR(L83+M83+N83,0))</f>
        <v/>
      </c>
      <c r="P83" s="25">
        <f>IF(A83="","",IFERROR(IF(E83="Encaissement",O83,0),0))</f>
        <v/>
      </c>
      <c r="Q83" s="25">
        <f>IF(A83="","",IFERROR(IF(E83="Décaissement",O83,0),0))</f>
        <v/>
      </c>
      <c r="R83" s="24" t="n"/>
      <c r="S83" s="25">
        <f>IF(R83="","",IFERROR(R83-O83,""))</f>
        <v/>
      </c>
      <c r="T83" s="20" t="n"/>
      <c r="U83" s="23" t="n"/>
      <c r="W83" s="26">
        <f>IF('Paramètres'!$B$8="","",IF(DATE(YEAR('Paramètres'!$B$8),MONTH('Paramètres'!$B$8)+79,1)&gt;'Paramètres'!$B$9,"",DATE(YEAR('Paramètres'!$B$8),MONTH('Paramètres'!$B$8)+79,1)))</f>
        <v/>
      </c>
      <c r="X83" s="27">
        <f>IF($W83="","",IFERROR($AB82,0))</f>
        <v/>
      </c>
      <c r="Y83" s="27">
        <f>IF($W83="","",IFERROR(SUMIFS($P$2:$P$101,$D$2:$D$101,TEXT($W83,"yyyy-mm"),$I$2:$I$101,"&lt;&gt;Annulé"),0))</f>
        <v/>
      </c>
      <c r="Z83" s="27">
        <f>IF($W83="","",IFERROR(SUMIFS($Q$2:$Q$101,$D$2:$D$101,TEXT($W83,"yyyy-mm"),$I$2:$I$101,"&lt;&gt;Annulé"),0))</f>
        <v/>
      </c>
      <c r="AA83" s="27">
        <f>IF($W83="","",IFERROR($Y83-$Z83,0))</f>
        <v/>
      </c>
      <c r="AB83" s="27">
        <f>IF($W83="","",IFERROR($X83+$AA83,0))</f>
        <v/>
      </c>
      <c r="AC83" s="27">
        <f>IF($W83="","",IFERROR('Paramètres'!$B$11,0))</f>
        <v/>
      </c>
      <c r="AD83" s="27">
        <f>IF($W83="","",IFERROR($AB83-$AC83,0))</f>
        <v/>
      </c>
      <c r="AE83" s="28">
        <f>IF($W83="","",IFERROR(IF($AB83&lt;$AC83,"À surveiller","OK"),"À vérifier"))</f>
        <v/>
      </c>
      <c r="AF83" s="27">
        <f>IF($W83="","",IFERROR(SUMIFS($R$2:$R$101,$D$2:$D$101,TEXT($W83,"yyyy-mm"),$E$2:$E$101,"Encaissement",$I$2:$I$101,"Réalisé"),0))</f>
        <v/>
      </c>
      <c r="AG83" s="27">
        <f>IF($W83="","",IFERROR(SUMIFS($R$2:$R$101,$D$2:$D$101,TEXT($W83,"yyyy-mm"),$E$2:$E$101,"Décaissement",$I$2:$I$101,"Réalisé"),0))</f>
        <v/>
      </c>
    </row>
    <row r="84">
      <c r="A84" s="20" t="n"/>
      <c r="B84" s="21" t="n"/>
      <c r="C84" s="21" t="n"/>
      <c r="D84" s="22">
        <f>IF(B84="","",IFERROR(TEXT(B84,"yyyy-mm"),""))</f>
        <v/>
      </c>
      <c r="E84" s="20" t="n"/>
      <c r="F84" s="20" t="n"/>
      <c r="G84" s="23" t="n"/>
      <c r="H84" s="23" t="n"/>
      <c r="I84" s="20" t="n"/>
      <c r="J84" s="20" t="n"/>
      <c r="K84" s="20" t="n"/>
      <c r="L84" s="24" t="n"/>
      <c r="M84" s="25">
        <f>IF(L84="","",IFERROR(IF(AND(J84="Oui",'Paramètres'!$B$16="Oui"),L84*'Paramètres'!$B$14,0),0))</f>
        <v/>
      </c>
      <c r="N84" s="25">
        <f>IF(L84="","",IFERROR(IF(AND(K84="Oui",'Paramètres'!$B$16="Oui"),L84*'Paramètres'!$B$15,0),0))</f>
        <v/>
      </c>
      <c r="O84" s="25">
        <f>IF(L84="","",IFERROR(L84+M84+N84,0))</f>
        <v/>
      </c>
      <c r="P84" s="25">
        <f>IF(A84="","",IFERROR(IF(E84="Encaissement",O84,0),0))</f>
        <v/>
      </c>
      <c r="Q84" s="25">
        <f>IF(A84="","",IFERROR(IF(E84="Décaissement",O84,0),0))</f>
        <v/>
      </c>
      <c r="R84" s="24" t="n"/>
      <c r="S84" s="25">
        <f>IF(R84="","",IFERROR(R84-O84,""))</f>
        <v/>
      </c>
      <c r="T84" s="20" t="n"/>
      <c r="U84" s="23" t="n"/>
      <c r="W84" s="26">
        <f>IF('Paramètres'!$B$8="","",IF(DATE(YEAR('Paramètres'!$B$8),MONTH('Paramètres'!$B$8)+80,1)&gt;'Paramètres'!$B$9,"",DATE(YEAR('Paramètres'!$B$8),MONTH('Paramètres'!$B$8)+80,1)))</f>
        <v/>
      </c>
      <c r="X84" s="27">
        <f>IF($W84="","",IFERROR($AB83,0))</f>
        <v/>
      </c>
      <c r="Y84" s="27">
        <f>IF($W84="","",IFERROR(SUMIFS($P$2:$P$101,$D$2:$D$101,TEXT($W84,"yyyy-mm"),$I$2:$I$101,"&lt;&gt;Annulé"),0))</f>
        <v/>
      </c>
      <c r="Z84" s="27">
        <f>IF($W84="","",IFERROR(SUMIFS($Q$2:$Q$101,$D$2:$D$101,TEXT($W84,"yyyy-mm"),$I$2:$I$101,"&lt;&gt;Annulé"),0))</f>
        <v/>
      </c>
      <c r="AA84" s="27">
        <f>IF($W84="","",IFERROR($Y84-$Z84,0))</f>
        <v/>
      </c>
      <c r="AB84" s="27">
        <f>IF($W84="","",IFERROR($X84+$AA84,0))</f>
        <v/>
      </c>
      <c r="AC84" s="27">
        <f>IF($W84="","",IFERROR('Paramètres'!$B$11,0))</f>
        <v/>
      </c>
      <c r="AD84" s="27">
        <f>IF($W84="","",IFERROR($AB84-$AC84,0))</f>
        <v/>
      </c>
      <c r="AE84" s="28">
        <f>IF($W84="","",IFERROR(IF($AB84&lt;$AC84,"À surveiller","OK"),"À vérifier"))</f>
        <v/>
      </c>
      <c r="AF84" s="27">
        <f>IF($W84="","",IFERROR(SUMIFS($R$2:$R$101,$D$2:$D$101,TEXT($W84,"yyyy-mm"),$E$2:$E$101,"Encaissement",$I$2:$I$101,"Réalisé"),0))</f>
        <v/>
      </c>
      <c r="AG84" s="27">
        <f>IF($W84="","",IFERROR(SUMIFS($R$2:$R$101,$D$2:$D$101,TEXT($W84,"yyyy-mm"),$E$2:$E$101,"Décaissement",$I$2:$I$101,"Réalisé"),0))</f>
        <v/>
      </c>
    </row>
    <row r="85">
      <c r="A85" s="20" t="n"/>
      <c r="B85" s="21" t="n"/>
      <c r="C85" s="21" t="n"/>
      <c r="D85" s="22">
        <f>IF(B85="","",IFERROR(TEXT(B85,"yyyy-mm"),""))</f>
        <v/>
      </c>
      <c r="E85" s="20" t="n"/>
      <c r="F85" s="20" t="n"/>
      <c r="G85" s="23" t="n"/>
      <c r="H85" s="23" t="n"/>
      <c r="I85" s="20" t="n"/>
      <c r="J85" s="20" t="n"/>
      <c r="K85" s="20" t="n"/>
      <c r="L85" s="24" t="n"/>
      <c r="M85" s="25">
        <f>IF(L85="","",IFERROR(IF(AND(J85="Oui",'Paramètres'!$B$16="Oui"),L85*'Paramètres'!$B$14,0),0))</f>
        <v/>
      </c>
      <c r="N85" s="25">
        <f>IF(L85="","",IFERROR(IF(AND(K85="Oui",'Paramètres'!$B$16="Oui"),L85*'Paramètres'!$B$15,0),0))</f>
        <v/>
      </c>
      <c r="O85" s="25">
        <f>IF(L85="","",IFERROR(L85+M85+N85,0))</f>
        <v/>
      </c>
      <c r="P85" s="25">
        <f>IF(A85="","",IFERROR(IF(E85="Encaissement",O85,0),0))</f>
        <v/>
      </c>
      <c r="Q85" s="25">
        <f>IF(A85="","",IFERROR(IF(E85="Décaissement",O85,0),0))</f>
        <v/>
      </c>
      <c r="R85" s="24" t="n"/>
      <c r="S85" s="25">
        <f>IF(R85="","",IFERROR(R85-O85,""))</f>
        <v/>
      </c>
      <c r="T85" s="20" t="n"/>
      <c r="U85" s="23" t="n"/>
      <c r="W85" s="26">
        <f>IF('Paramètres'!$B$8="","",IF(DATE(YEAR('Paramètres'!$B$8),MONTH('Paramètres'!$B$8)+81,1)&gt;'Paramètres'!$B$9,"",DATE(YEAR('Paramètres'!$B$8),MONTH('Paramètres'!$B$8)+81,1)))</f>
        <v/>
      </c>
      <c r="X85" s="27">
        <f>IF($W85="","",IFERROR($AB84,0))</f>
        <v/>
      </c>
      <c r="Y85" s="27">
        <f>IF($W85="","",IFERROR(SUMIFS($P$2:$P$101,$D$2:$D$101,TEXT($W85,"yyyy-mm"),$I$2:$I$101,"&lt;&gt;Annulé"),0))</f>
        <v/>
      </c>
      <c r="Z85" s="27">
        <f>IF($W85="","",IFERROR(SUMIFS($Q$2:$Q$101,$D$2:$D$101,TEXT($W85,"yyyy-mm"),$I$2:$I$101,"&lt;&gt;Annulé"),0))</f>
        <v/>
      </c>
      <c r="AA85" s="27">
        <f>IF($W85="","",IFERROR($Y85-$Z85,0))</f>
        <v/>
      </c>
      <c r="AB85" s="27">
        <f>IF($W85="","",IFERROR($X85+$AA85,0))</f>
        <v/>
      </c>
      <c r="AC85" s="27">
        <f>IF($W85="","",IFERROR('Paramètres'!$B$11,0))</f>
        <v/>
      </c>
      <c r="AD85" s="27">
        <f>IF($W85="","",IFERROR($AB85-$AC85,0))</f>
        <v/>
      </c>
      <c r="AE85" s="28">
        <f>IF($W85="","",IFERROR(IF($AB85&lt;$AC85,"À surveiller","OK"),"À vérifier"))</f>
        <v/>
      </c>
      <c r="AF85" s="27">
        <f>IF($W85="","",IFERROR(SUMIFS($R$2:$R$101,$D$2:$D$101,TEXT($W85,"yyyy-mm"),$E$2:$E$101,"Encaissement",$I$2:$I$101,"Réalisé"),0))</f>
        <v/>
      </c>
      <c r="AG85" s="27">
        <f>IF($W85="","",IFERROR(SUMIFS($R$2:$R$101,$D$2:$D$101,TEXT($W85,"yyyy-mm"),$E$2:$E$101,"Décaissement",$I$2:$I$101,"Réalisé"),0))</f>
        <v/>
      </c>
    </row>
    <row r="86">
      <c r="A86" s="20" t="n"/>
      <c r="B86" s="21" t="n"/>
      <c r="C86" s="21" t="n"/>
      <c r="D86" s="22">
        <f>IF(B86="","",IFERROR(TEXT(B86,"yyyy-mm"),""))</f>
        <v/>
      </c>
      <c r="E86" s="20" t="n"/>
      <c r="F86" s="20" t="n"/>
      <c r="G86" s="23" t="n"/>
      <c r="H86" s="23" t="n"/>
      <c r="I86" s="20" t="n"/>
      <c r="J86" s="20" t="n"/>
      <c r="K86" s="20" t="n"/>
      <c r="L86" s="24" t="n"/>
      <c r="M86" s="25">
        <f>IF(L86="","",IFERROR(IF(AND(J86="Oui",'Paramètres'!$B$16="Oui"),L86*'Paramètres'!$B$14,0),0))</f>
        <v/>
      </c>
      <c r="N86" s="25">
        <f>IF(L86="","",IFERROR(IF(AND(K86="Oui",'Paramètres'!$B$16="Oui"),L86*'Paramètres'!$B$15,0),0))</f>
        <v/>
      </c>
      <c r="O86" s="25">
        <f>IF(L86="","",IFERROR(L86+M86+N86,0))</f>
        <v/>
      </c>
      <c r="P86" s="25">
        <f>IF(A86="","",IFERROR(IF(E86="Encaissement",O86,0),0))</f>
        <v/>
      </c>
      <c r="Q86" s="25">
        <f>IF(A86="","",IFERROR(IF(E86="Décaissement",O86,0),0))</f>
        <v/>
      </c>
      <c r="R86" s="24" t="n"/>
      <c r="S86" s="25">
        <f>IF(R86="","",IFERROR(R86-O86,""))</f>
        <v/>
      </c>
      <c r="T86" s="20" t="n"/>
      <c r="U86" s="23" t="n"/>
      <c r="W86" s="26">
        <f>IF('Paramètres'!$B$8="","",IF(DATE(YEAR('Paramètres'!$B$8),MONTH('Paramètres'!$B$8)+82,1)&gt;'Paramètres'!$B$9,"",DATE(YEAR('Paramètres'!$B$8),MONTH('Paramètres'!$B$8)+82,1)))</f>
        <v/>
      </c>
      <c r="X86" s="27">
        <f>IF($W86="","",IFERROR($AB85,0))</f>
        <v/>
      </c>
      <c r="Y86" s="27">
        <f>IF($W86="","",IFERROR(SUMIFS($P$2:$P$101,$D$2:$D$101,TEXT($W86,"yyyy-mm"),$I$2:$I$101,"&lt;&gt;Annulé"),0))</f>
        <v/>
      </c>
      <c r="Z86" s="27">
        <f>IF($W86="","",IFERROR(SUMIFS($Q$2:$Q$101,$D$2:$D$101,TEXT($W86,"yyyy-mm"),$I$2:$I$101,"&lt;&gt;Annulé"),0))</f>
        <v/>
      </c>
      <c r="AA86" s="27">
        <f>IF($W86="","",IFERROR($Y86-$Z86,0))</f>
        <v/>
      </c>
      <c r="AB86" s="27">
        <f>IF($W86="","",IFERROR($X86+$AA86,0))</f>
        <v/>
      </c>
      <c r="AC86" s="27">
        <f>IF($W86="","",IFERROR('Paramètres'!$B$11,0))</f>
        <v/>
      </c>
      <c r="AD86" s="27">
        <f>IF($W86="","",IFERROR($AB86-$AC86,0))</f>
        <v/>
      </c>
      <c r="AE86" s="28">
        <f>IF($W86="","",IFERROR(IF($AB86&lt;$AC86,"À surveiller","OK"),"À vérifier"))</f>
        <v/>
      </c>
      <c r="AF86" s="27">
        <f>IF($W86="","",IFERROR(SUMIFS($R$2:$R$101,$D$2:$D$101,TEXT($W86,"yyyy-mm"),$E$2:$E$101,"Encaissement",$I$2:$I$101,"Réalisé"),0))</f>
        <v/>
      </c>
      <c r="AG86" s="27">
        <f>IF($W86="","",IFERROR(SUMIFS($R$2:$R$101,$D$2:$D$101,TEXT($W86,"yyyy-mm"),$E$2:$E$101,"Décaissement",$I$2:$I$101,"Réalisé"),0))</f>
        <v/>
      </c>
    </row>
    <row r="87">
      <c r="A87" s="20" t="n"/>
      <c r="B87" s="21" t="n"/>
      <c r="C87" s="21" t="n"/>
      <c r="D87" s="22">
        <f>IF(B87="","",IFERROR(TEXT(B87,"yyyy-mm"),""))</f>
        <v/>
      </c>
      <c r="E87" s="20" t="n"/>
      <c r="F87" s="20" t="n"/>
      <c r="G87" s="23" t="n"/>
      <c r="H87" s="23" t="n"/>
      <c r="I87" s="20" t="n"/>
      <c r="J87" s="20" t="n"/>
      <c r="K87" s="20" t="n"/>
      <c r="L87" s="24" t="n"/>
      <c r="M87" s="25">
        <f>IF(L87="","",IFERROR(IF(AND(J87="Oui",'Paramètres'!$B$16="Oui"),L87*'Paramètres'!$B$14,0),0))</f>
        <v/>
      </c>
      <c r="N87" s="25">
        <f>IF(L87="","",IFERROR(IF(AND(K87="Oui",'Paramètres'!$B$16="Oui"),L87*'Paramètres'!$B$15,0),0))</f>
        <v/>
      </c>
      <c r="O87" s="25">
        <f>IF(L87="","",IFERROR(L87+M87+N87,0))</f>
        <v/>
      </c>
      <c r="P87" s="25">
        <f>IF(A87="","",IFERROR(IF(E87="Encaissement",O87,0),0))</f>
        <v/>
      </c>
      <c r="Q87" s="25">
        <f>IF(A87="","",IFERROR(IF(E87="Décaissement",O87,0),0))</f>
        <v/>
      </c>
      <c r="R87" s="24" t="n"/>
      <c r="S87" s="25">
        <f>IF(R87="","",IFERROR(R87-O87,""))</f>
        <v/>
      </c>
      <c r="T87" s="20" t="n"/>
      <c r="U87" s="23" t="n"/>
      <c r="W87" s="26">
        <f>IF('Paramètres'!$B$8="","",IF(DATE(YEAR('Paramètres'!$B$8),MONTH('Paramètres'!$B$8)+83,1)&gt;'Paramètres'!$B$9,"",DATE(YEAR('Paramètres'!$B$8),MONTH('Paramètres'!$B$8)+83,1)))</f>
        <v/>
      </c>
      <c r="X87" s="27">
        <f>IF($W87="","",IFERROR($AB86,0))</f>
        <v/>
      </c>
      <c r="Y87" s="27">
        <f>IF($W87="","",IFERROR(SUMIFS($P$2:$P$101,$D$2:$D$101,TEXT($W87,"yyyy-mm"),$I$2:$I$101,"&lt;&gt;Annulé"),0))</f>
        <v/>
      </c>
      <c r="Z87" s="27">
        <f>IF($W87="","",IFERROR(SUMIFS($Q$2:$Q$101,$D$2:$D$101,TEXT($W87,"yyyy-mm"),$I$2:$I$101,"&lt;&gt;Annulé"),0))</f>
        <v/>
      </c>
      <c r="AA87" s="27">
        <f>IF($W87="","",IFERROR($Y87-$Z87,0))</f>
        <v/>
      </c>
      <c r="AB87" s="27">
        <f>IF($W87="","",IFERROR($X87+$AA87,0))</f>
        <v/>
      </c>
      <c r="AC87" s="27">
        <f>IF($W87="","",IFERROR('Paramètres'!$B$11,0))</f>
        <v/>
      </c>
      <c r="AD87" s="27">
        <f>IF($W87="","",IFERROR($AB87-$AC87,0))</f>
        <v/>
      </c>
      <c r="AE87" s="28">
        <f>IF($W87="","",IFERROR(IF($AB87&lt;$AC87,"À surveiller","OK"),"À vérifier"))</f>
        <v/>
      </c>
      <c r="AF87" s="27">
        <f>IF($W87="","",IFERROR(SUMIFS($R$2:$R$101,$D$2:$D$101,TEXT($W87,"yyyy-mm"),$E$2:$E$101,"Encaissement",$I$2:$I$101,"Réalisé"),0))</f>
        <v/>
      </c>
      <c r="AG87" s="27">
        <f>IF($W87="","",IFERROR(SUMIFS($R$2:$R$101,$D$2:$D$101,TEXT($W87,"yyyy-mm"),$E$2:$E$101,"Décaissement",$I$2:$I$101,"Réalisé"),0))</f>
        <v/>
      </c>
    </row>
    <row r="88">
      <c r="A88" s="20" t="n"/>
      <c r="B88" s="21" t="n"/>
      <c r="C88" s="21" t="n"/>
      <c r="D88" s="22">
        <f>IF(B88="","",IFERROR(TEXT(B88,"yyyy-mm"),""))</f>
        <v/>
      </c>
      <c r="E88" s="20" t="n"/>
      <c r="F88" s="20" t="n"/>
      <c r="G88" s="23" t="n"/>
      <c r="H88" s="23" t="n"/>
      <c r="I88" s="20" t="n"/>
      <c r="J88" s="20" t="n"/>
      <c r="K88" s="20" t="n"/>
      <c r="L88" s="24" t="n"/>
      <c r="M88" s="25">
        <f>IF(L88="","",IFERROR(IF(AND(J88="Oui",'Paramètres'!$B$16="Oui"),L88*'Paramètres'!$B$14,0),0))</f>
        <v/>
      </c>
      <c r="N88" s="25">
        <f>IF(L88="","",IFERROR(IF(AND(K88="Oui",'Paramètres'!$B$16="Oui"),L88*'Paramètres'!$B$15,0),0))</f>
        <v/>
      </c>
      <c r="O88" s="25">
        <f>IF(L88="","",IFERROR(L88+M88+N88,0))</f>
        <v/>
      </c>
      <c r="P88" s="25">
        <f>IF(A88="","",IFERROR(IF(E88="Encaissement",O88,0),0))</f>
        <v/>
      </c>
      <c r="Q88" s="25">
        <f>IF(A88="","",IFERROR(IF(E88="Décaissement",O88,0),0))</f>
        <v/>
      </c>
      <c r="R88" s="24" t="n"/>
      <c r="S88" s="25">
        <f>IF(R88="","",IFERROR(R88-O88,""))</f>
        <v/>
      </c>
      <c r="T88" s="20" t="n"/>
      <c r="U88" s="23" t="n"/>
      <c r="W88" s="26">
        <f>IF('Paramètres'!$B$8="","",IF(DATE(YEAR('Paramètres'!$B$8),MONTH('Paramètres'!$B$8)+84,1)&gt;'Paramètres'!$B$9,"",DATE(YEAR('Paramètres'!$B$8),MONTH('Paramètres'!$B$8)+84,1)))</f>
        <v/>
      </c>
      <c r="X88" s="27">
        <f>IF($W88="","",IFERROR($AB87,0))</f>
        <v/>
      </c>
      <c r="Y88" s="27">
        <f>IF($W88="","",IFERROR(SUMIFS($P$2:$P$101,$D$2:$D$101,TEXT($W88,"yyyy-mm"),$I$2:$I$101,"&lt;&gt;Annulé"),0))</f>
        <v/>
      </c>
      <c r="Z88" s="27">
        <f>IF($W88="","",IFERROR(SUMIFS($Q$2:$Q$101,$D$2:$D$101,TEXT($W88,"yyyy-mm"),$I$2:$I$101,"&lt;&gt;Annulé"),0))</f>
        <v/>
      </c>
      <c r="AA88" s="27">
        <f>IF($W88="","",IFERROR($Y88-$Z88,0))</f>
        <v/>
      </c>
      <c r="AB88" s="27">
        <f>IF($W88="","",IFERROR($X88+$AA88,0))</f>
        <v/>
      </c>
      <c r="AC88" s="27">
        <f>IF($W88="","",IFERROR('Paramètres'!$B$11,0))</f>
        <v/>
      </c>
      <c r="AD88" s="27">
        <f>IF($W88="","",IFERROR($AB88-$AC88,0))</f>
        <v/>
      </c>
      <c r="AE88" s="28">
        <f>IF($W88="","",IFERROR(IF($AB88&lt;$AC88,"À surveiller","OK"),"À vérifier"))</f>
        <v/>
      </c>
      <c r="AF88" s="27">
        <f>IF($W88="","",IFERROR(SUMIFS($R$2:$R$101,$D$2:$D$101,TEXT($W88,"yyyy-mm"),$E$2:$E$101,"Encaissement",$I$2:$I$101,"Réalisé"),0))</f>
        <v/>
      </c>
      <c r="AG88" s="27">
        <f>IF($W88="","",IFERROR(SUMIFS($R$2:$R$101,$D$2:$D$101,TEXT($W88,"yyyy-mm"),$E$2:$E$101,"Décaissement",$I$2:$I$101,"Réalisé"),0))</f>
        <v/>
      </c>
    </row>
    <row r="89">
      <c r="A89" s="20" t="n"/>
      <c r="B89" s="21" t="n"/>
      <c r="C89" s="21" t="n"/>
      <c r="D89" s="22">
        <f>IF(B89="","",IFERROR(TEXT(B89,"yyyy-mm"),""))</f>
        <v/>
      </c>
      <c r="E89" s="20" t="n"/>
      <c r="F89" s="20" t="n"/>
      <c r="G89" s="23" t="n"/>
      <c r="H89" s="23" t="n"/>
      <c r="I89" s="20" t="n"/>
      <c r="J89" s="20" t="n"/>
      <c r="K89" s="20" t="n"/>
      <c r="L89" s="24" t="n"/>
      <c r="M89" s="25">
        <f>IF(L89="","",IFERROR(IF(AND(J89="Oui",'Paramètres'!$B$16="Oui"),L89*'Paramètres'!$B$14,0),0))</f>
        <v/>
      </c>
      <c r="N89" s="25">
        <f>IF(L89="","",IFERROR(IF(AND(K89="Oui",'Paramètres'!$B$16="Oui"),L89*'Paramètres'!$B$15,0),0))</f>
        <v/>
      </c>
      <c r="O89" s="25">
        <f>IF(L89="","",IFERROR(L89+M89+N89,0))</f>
        <v/>
      </c>
      <c r="P89" s="25">
        <f>IF(A89="","",IFERROR(IF(E89="Encaissement",O89,0),0))</f>
        <v/>
      </c>
      <c r="Q89" s="25">
        <f>IF(A89="","",IFERROR(IF(E89="Décaissement",O89,0),0))</f>
        <v/>
      </c>
      <c r="R89" s="24" t="n"/>
      <c r="S89" s="25">
        <f>IF(R89="","",IFERROR(R89-O89,""))</f>
        <v/>
      </c>
      <c r="T89" s="20" t="n"/>
      <c r="U89" s="23" t="n"/>
      <c r="W89" s="26">
        <f>IF('Paramètres'!$B$8="","",IF(DATE(YEAR('Paramètres'!$B$8),MONTH('Paramètres'!$B$8)+85,1)&gt;'Paramètres'!$B$9,"",DATE(YEAR('Paramètres'!$B$8),MONTH('Paramètres'!$B$8)+85,1)))</f>
        <v/>
      </c>
      <c r="X89" s="27">
        <f>IF($W89="","",IFERROR($AB88,0))</f>
        <v/>
      </c>
      <c r="Y89" s="27">
        <f>IF($W89="","",IFERROR(SUMIFS($P$2:$P$101,$D$2:$D$101,TEXT($W89,"yyyy-mm"),$I$2:$I$101,"&lt;&gt;Annulé"),0))</f>
        <v/>
      </c>
      <c r="Z89" s="27">
        <f>IF($W89="","",IFERROR(SUMIFS($Q$2:$Q$101,$D$2:$D$101,TEXT($W89,"yyyy-mm"),$I$2:$I$101,"&lt;&gt;Annulé"),0))</f>
        <v/>
      </c>
      <c r="AA89" s="27">
        <f>IF($W89="","",IFERROR($Y89-$Z89,0))</f>
        <v/>
      </c>
      <c r="AB89" s="27">
        <f>IF($W89="","",IFERROR($X89+$AA89,0))</f>
        <v/>
      </c>
      <c r="AC89" s="27">
        <f>IF($W89="","",IFERROR('Paramètres'!$B$11,0))</f>
        <v/>
      </c>
      <c r="AD89" s="27">
        <f>IF($W89="","",IFERROR($AB89-$AC89,0))</f>
        <v/>
      </c>
      <c r="AE89" s="28">
        <f>IF($W89="","",IFERROR(IF($AB89&lt;$AC89,"À surveiller","OK"),"À vérifier"))</f>
        <v/>
      </c>
      <c r="AF89" s="27">
        <f>IF($W89="","",IFERROR(SUMIFS($R$2:$R$101,$D$2:$D$101,TEXT($W89,"yyyy-mm"),$E$2:$E$101,"Encaissement",$I$2:$I$101,"Réalisé"),0))</f>
        <v/>
      </c>
      <c r="AG89" s="27">
        <f>IF($W89="","",IFERROR(SUMIFS($R$2:$R$101,$D$2:$D$101,TEXT($W89,"yyyy-mm"),$E$2:$E$101,"Décaissement",$I$2:$I$101,"Réalisé"),0))</f>
        <v/>
      </c>
    </row>
    <row r="90">
      <c r="A90" s="20" t="n"/>
      <c r="B90" s="21" t="n"/>
      <c r="C90" s="21" t="n"/>
      <c r="D90" s="22">
        <f>IF(B90="","",IFERROR(TEXT(B90,"yyyy-mm"),""))</f>
        <v/>
      </c>
      <c r="E90" s="20" t="n"/>
      <c r="F90" s="20" t="n"/>
      <c r="G90" s="23" t="n"/>
      <c r="H90" s="23" t="n"/>
      <c r="I90" s="20" t="n"/>
      <c r="J90" s="20" t="n"/>
      <c r="K90" s="20" t="n"/>
      <c r="L90" s="24" t="n"/>
      <c r="M90" s="25">
        <f>IF(L90="","",IFERROR(IF(AND(J90="Oui",'Paramètres'!$B$16="Oui"),L90*'Paramètres'!$B$14,0),0))</f>
        <v/>
      </c>
      <c r="N90" s="25">
        <f>IF(L90="","",IFERROR(IF(AND(K90="Oui",'Paramètres'!$B$16="Oui"),L90*'Paramètres'!$B$15,0),0))</f>
        <v/>
      </c>
      <c r="O90" s="25">
        <f>IF(L90="","",IFERROR(L90+M90+N90,0))</f>
        <v/>
      </c>
      <c r="P90" s="25">
        <f>IF(A90="","",IFERROR(IF(E90="Encaissement",O90,0),0))</f>
        <v/>
      </c>
      <c r="Q90" s="25">
        <f>IF(A90="","",IFERROR(IF(E90="Décaissement",O90,0),0))</f>
        <v/>
      </c>
      <c r="R90" s="24" t="n"/>
      <c r="S90" s="25">
        <f>IF(R90="","",IFERROR(R90-O90,""))</f>
        <v/>
      </c>
      <c r="T90" s="20" t="n"/>
      <c r="U90" s="23" t="n"/>
      <c r="W90" s="26">
        <f>IF('Paramètres'!$B$8="","",IF(DATE(YEAR('Paramètres'!$B$8),MONTH('Paramètres'!$B$8)+86,1)&gt;'Paramètres'!$B$9,"",DATE(YEAR('Paramètres'!$B$8),MONTH('Paramètres'!$B$8)+86,1)))</f>
        <v/>
      </c>
      <c r="X90" s="27">
        <f>IF($W90="","",IFERROR($AB89,0))</f>
        <v/>
      </c>
      <c r="Y90" s="27">
        <f>IF($W90="","",IFERROR(SUMIFS($P$2:$P$101,$D$2:$D$101,TEXT($W90,"yyyy-mm"),$I$2:$I$101,"&lt;&gt;Annulé"),0))</f>
        <v/>
      </c>
      <c r="Z90" s="27">
        <f>IF($W90="","",IFERROR(SUMIFS($Q$2:$Q$101,$D$2:$D$101,TEXT($W90,"yyyy-mm"),$I$2:$I$101,"&lt;&gt;Annulé"),0))</f>
        <v/>
      </c>
      <c r="AA90" s="27">
        <f>IF($W90="","",IFERROR($Y90-$Z90,0))</f>
        <v/>
      </c>
      <c r="AB90" s="27">
        <f>IF($W90="","",IFERROR($X90+$AA90,0))</f>
        <v/>
      </c>
      <c r="AC90" s="27">
        <f>IF($W90="","",IFERROR('Paramètres'!$B$11,0))</f>
        <v/>
      </c>
      <c r="AD90" s="27">
        <f>IF($W90="","",IFERROR($AB90-$AC90,0))</f>
        <v/>
      </c>
      <c r="AE90" s="28">
        <f>IF($W90="","",IFERROR(IF($AB90&lt;$AC90,"À surveiller","OK"),"À vérifier"))</f>
        <v/>
      </c>
      <c r="AF90" s="27">
        <f>IF($W90="","",IFERROR(SUMIFS($R$2:$R$101,$D$2:$D$101,TEXT($W90,"yyyy-mm"),$E$2:$E$101,"Encaissement",$I$2:$I$101,"Réalisé"),0))</f>
        <v/>
      </c>
      <c r="AG90" s="27">
        <f>IF($W90="","",IFERROR(SUMIFS($R$2:$R$101,$D$2:$D$101,TEXT($W90,"yyyy-mm"),$E$2:$E$101,"Décaissement",$I$2:$I$101,"Réalisé"),0))</f>
        <v/>
      </c>
    </row>
    <row r="91">
      <c r="A91" s="20" t="n"/>
      <c r="B91" s="21" t="n"/>
      <c r="C91" s="21" t="n"/>
      <c r="D91" s="22">
        <f>IF(B91="","",IFERROR(TEXT(B91,"yyyy-mm"),""))</f>
        <v/>
      </c>
      <c r="E91" s="20" t="n"/>
      <c r="F91" s="20" t="n"/>
      <c r="G91" s="23" t="n"/>
      <c r="H91" s="23" t="n"/>
      <c r="I91" s="20" t="n"/>
      <c r="J91" s="20" t="n"/>
      <c r="K91" s="20" t="n"/>
      <c r="L91" s="24" t="n"/>
      <c r="M91" s="25">
        <f>IF(L91="","",IFERROR(IF(AND(J91="Oui",'Paramètres'!$B$16="Oui"),L91*'Paramètres'!$B$14,0),0))</f>
        <v/>
      </c>
      <c r="N91" s="25">
        <f>IF(L91="","",IFERROR(IF(AND(K91="Oui",'Paramètres'!$B$16="Oui"),L91*'Paramètres'!$B$15,0),0))</f>
        <v/>
      </c>
      <c r="O91" s="25">
        <f>IF(L91="","",IFERROR(L91+M91+N91,0))</f>
        <v/>
      </c>
      <c r="P91" s="25">
        <f>IF(A91="","",IFERROR(IF(E91="Encaissement",O91,0),0))</f>
        <v/>
      </c>
      <c r="Q91" s="25">
        <f>IF(A91="","",IFERROR(IF(E91="Décaissement",O91,0),0))</f>
        <v/>
      </c>
      <c r="R91" s="24" t="n"/>
      <c r="S91" s="25">
        <f>IF(R91="","",IFERROR(R91-O91,""))</f>
        <v/>
      </c>
      <c r="T91" s="20" t="n"/>
      <c r="U91" s="23" t="n"/>
      <c r="W91" s="26">
        <f>IF('Paramètres'!$B$8="","",IF(DATE(YEAR('Paramètres'!$B$8),MONTH('Paramètres'!$B$8)+87,1)&gt;'Paramètres'!$B$9,"",DATE(YEAR('Paramètres'!$B$8),MONTH('Paramètres'!$B$8)+87,1)))</f>
        <v/>
      </c>
      <c r="X91" s="27">
        <f>IF($W91="","",IFERROR($AB90,0))</f>
        <v/>
      </c>
      <c r="Y91" s="27">
        <f>IF($W91="","",IFERROR(SUMIFS($P$2:$P$101,$D$2:$D$101,TEXT($W91,"yyyy-mm"),$I$2:$I$101,"&lt;&gt;Annulé"),0))</f>
        <v/>
      </c>
      <c r="Z91" s="27">
        <f>IF($W91="","",IFERROR(SUMIFS($Q$2:$Q$101,$D$2:$D$101,TEXT($W91,"yyyy-mm"),$I$2:$I$101,"&lt;&gt;Annulé"),0))</f>
        <v/>
      </c>
      <c r="AA91" s="27">
        <f>IF($W91="","",IFERROR($Y91-$Z91,0))</f>
        <v/>
      </c>
      <c r="AB91" s="27">
        <f>IF($W91="","",IFERROR($X91+$AA91,0))</f>
        <v/>
      </c>
      <c r="AC91" s="27">
        <f>IF($W91="","",IFERROR('Paramètres'!$B$11,0))</f>
        <v/>
      </c>
      <c r="AD91" s="27">
        <f>IF($W91="","",IFERROR($AB91-$AC91,0))</f>
        <v/>
      </c>
      <c r="AE91" s="28">
        <f>IF($W91="","",IFERROR(IF($AB91&lt;$AC91,"À surveiller","OK"),"À vérifier"))</f>
        <v/>
      </c>
      <c r="AF91" s="27">
        <f>IF($W91="","",IFERROR(SUMIFS($R$2:$R$101,$D$2:$D$101,TEXT($W91,"yyyy-mm"),$E$2:$E$101,"Encaissement",$I$2:$I$101,"Réalisé"),0))</f>
        <v/>
      </c>
      <c r="AG91" s="27">
        <f>IF($W91="","",IFERROR(SUMIFS($R$2:$R$101,$D$2:$D$101,TEXT($W91,"yyyy-mm"),$E$2:$E$101,"Décaissement",$I$2:$I$101,"Réalisé"),0))</f>
        <v/>
      </c>
    </row>
    <row r="92">
      <c r="A92" s="20" t="n"/>
      <c r="B92" s="21" t="n"/>
      <c r="C92" s="21" t="n"/>
      <c r="D92" s="22">
        <f>IF(B92="","",IFERROR(TEXT(B92,"yyyy-mm"),""))</f>
        <v/>
      </c>
      <c r="E92" s="20" t="n"/>
      <c r="F92" s="20" t="n"/>
      <c r="G92" s="23" t="n"/>
      <c r="H92" s="23" t="n"/>
      <c r="I92" s="20" t="n"/>
      <c r="J92" s="20" t="n"/>
      <c r="K92" s="20" t="n"/>
      <c r="L92" s="24" t="n"/>
      <c r="M92" s="25">
        <f>IF(L92="","",IFERROR(IF(AND(J92="Oui",'Paramètres'!$B$16="Oui"),L92*'Paramètres'!$B$14,0),0))</f>
        <v/>
      </c>
      <c r="N92" s="25">
        <f>IF(L92="","",IFERROR(IF(AND(K92="Oui",'Paramètres'!$B$16="Oui"),L92*'Paramètres'!$B$15,0),0))</f>
        <v/>
      </c>
      <c r="O92" s="25">
        <f>IF(L92="","",IFERROR(L92+M92+N92,0))</f>
        <v/>
      </c>
      <c r="P92" s="25">
        <f>IF(A92="","",IFERROR(IF(E92="Encaissement",O92,0),0))</f>
        <v/>
      </c>
      <c r="Q92" s="25">
        <f>IF(A92="","",IFERROR(IF(E92="Décaissement",O92,0),0))</f>
        <v/>
      </c>
      <c r="R92" s="24" t="n"/>
      <c r="S92" s="25">
        <f>IF(R92="","",IFERROR(R92-O92,""))</f>
        <v/>
      </c>
      <c r="T92" s="20" t="n"/>
      <c r="U92" s="23" t="n"/>
      <c r="W92" s="26">
        <f>IF('Paramètres'!$B$8="","",IF(DATE(YEAR('Paramètres'!$B$8),MONTH('Paramètres'!$B$8)+88,1)&gt;'Paramètres'!$B$9,"",DATE(YEAR('Paramètres'!$B$8),MONTH('Paramètres'!$B$8)+88,1)))</f>
        <v/>
      </c>
      <c r="X92" s="27">
        <f>IF($W92="","",IFERROR($AB91,0))</f>
        <v/>
      </c>
      <c r="Y92" s="27">
        <f>IF($W92="","",IFERROR(SUMIFS($P$2:$P$101,$D$2:$D$101,TEXT($W92,"yyyy-mm"),$I$2:$I$101,"&lt;&gt;Annulé"),0))</f>
        <v/>
      </c>
      <c r="Z92" s="27">
        <f>IF($W92="","",IFERROR(SUMIFS($Q$2:$Q$101,$D$2:$D$101,TEXT($W92,"yyyy-mm"),$I$2:$I$101,"&lt;&gt;Annulé"),0))</f>
        <v/>
      </c>
      <c r="AA92" s="27">
        <f>IF($W92="","",IFERROR($Y92-$Z92,0))</f>
        <v/>
      </c>
      <c r="AB92" s="27">
        <f>IF($W92="","",IFERROR($X92+$AA92,0))</f>
        <v/>
      </c>
      <c r="AC92" s="27">
        <f>IF($W92="","",IFERROR('Paramètres'!$B$11,0))</f>
        <v/>
      </c>
      <c r="AD92" s="27">
        <f>IF($W92="","",IFERROR($AB92-$AC92,0))</f>
        <v/>
      </c>
      <c r="AE92" s="28">
        <f>IF($W92="","",IFERROR(IF($AB92&lt;$AC92,"À surveiller","OK"),"À vérifier"))</f>
        <v/>
      </c>
      <c r="AF92" s="27">
        <f>IF($W92="","",IFERROR(SUMIFS($R$2:$R$101,$D$2:$D$101,TEXT($W92,"yyyy-mm"),$E$2:$E$101,"Encaissement",$I$2:$I$101,"Réalisé"),0))</f>
        <v/>
      </c>
      <c r="AG92" s="27">
        <f>IF($W92="","",IFERROR(SUMIFS($R$2:$R$101,$D$2:$D$101,TEXT($W92,"yyyy-mm"),$E$2:$E$101,"Décaissement",$I$2:$I$101,"Réalisé"),0))</f>
        <v/>
      </c>
    </row>
    <row r="93">
      <c r="A93" s="20" t="n"/>
      <c r="B93" s="21" t="n"/>
      <c r="C93" s="21" t="n"/>
      <c r="D93" s="22">
        <f>IF(B93="","",IFERROR(TEXT(B93,"yyyy-mm"),""))</f>
        <v/>
      </c>
      <c r="E93" s="20" t="n"/>
      <c r="F93" s="20" t="n"/>
      <c r="G93" s="23" t="n"/>
      <c r="H93" s="23" t="n"/>
      <c r="I93" s="20" t="n"/>
      <c r="J93" s="20" t="n"/>
      <c r="K93" s="20" t="n"/>
      <c r="L93" s="24" t="n"/>
      <c r="M93" s="25">
        <f>IF(L93="","",IFERROR(IF(AND(J93="Oui",'Paramètres'!$B$16="Oui"),L93*'Paramètres'!$B$14,0),0))</f>
        <v/>
      </c>
      <c r="N93" s="25">
        <f>IF(L93="","",IFERROR(IF(AND(K93="Oui",'Paramètres'!$B$16="Oui"),L93*'Paramètres'!$B$15,0),0))</f>
        <v/>
      </c>
      <c r="O93" s="25">
        <f>IF(L93="","",IFERROR(L93+M93+N93,0))</f>
        <v/>
      </c>
      <c r="P93" s="25">
        <f>IF(A93="","",IFERROR(IF(E93="Encaissement",O93,0),0))</f>
        <v/>
      </c>
      <c r="Q93" s="25">
        <f>IF(A93="","",IFERROR(IF(E93="Décaissement",O93,0),0))</f>
        <v/>
      </c>
      <c r="R93" s="24" t="n"/>
      <c r="S93" s="25">
        <f>IF(R93="","",IFERROR(R93-O93,""))</f>
        <v/>
      </c>
      <c r="T93" s="20" t="n"/>
      <c r="U93" s="23" t="n"/>
      <c r="W93" s="26">
        <f>IF('Paramètres'!$B$8="","",IF(DATE(YEAR('Paramètres'!$B$8),MONTH('Paramètres'!$B$8)+89,1)&gt;'Paramètres'!$B$9,"",DATE(YEAR('Paramètres'!$B$8),MONTH('Paramètres'!$B$8)+89,1)))</f>
        <v/>
      </c>
      <c r="X93" s="27">
        <f>IF($W93="","",IFERROR($AB92,0))</f>
        <v/>
      </c>
      <c r="Y93" s="27">
        <f>IF($W93="","",IFERROR(SUMIFS($P$2:$P$101,$D$2:$D$101,TEXT($W93,"yyyy-mm"),$I$2:$I$101,"&lt;&gt;Annulé"),0))</f>
        <v/>
      </c>
      <c r="Z93" s="27">
        <f>IF($W93="","",IFERROR(SUMIFS($Q$2:$Q$101,$D$2:$D$101,TEXT($W93,"yyyy-mm"),$I$2:$I$101,"&lt;&gt;Annulé"),0))</f>
        <v/>
      </c>
      <c r="AA93" s="27">
        <f>IF($W93="","",IFERROR($Y93-$Z93,0))</f>
        <v/>
      </c>
      <c r="AB93" s="27">
        <f>IF($W93="","",IFERROR($X93+$AA93,0))</f>
        <v/>
      </c>
      <c r="AC93" s="27">
        <f>IF($W93="","",IFERROR('Paramètres'!$B$11,0))</f>
        <v/>
      </c>
      <c r="AD93" s="27">
        <f>IF($W93="","",IFERROR($AB93-$AC93,0))</f>
        <v/>
      </c>
      <c r="AE93" s="28">
        <f>IF($W93="","",IFERROR(IF($AB93&lt;$AC93,"À surveiller","OK"),"À vérifier"))</f>
        <v/>
      </c>
      <c r="AF93" s="27">
        <f>IF($W93="","",IFERROR(SUMIFS($R$2:$R$101,$D$2:$D$101,TEXT($W93,"yyyy-mm"),$E$2:$E$101,"Encaissement",$I$2:$I$101,"Réalisé"),0))</f>
        <v/>
      </c>
      <c r="AG93" s="27">
        <f>IF($W93="","",IFERROR(SUMIFS($R$2:$R$101,$D$2:$D$101,TEXT($W93,"yyyy-mm"),$E$2:$E$101,"Décaissement",$I$2:$I$101,"Réalisé"),0))</f>
        <v/>
      </c>
    </row>
    <row r="94">
      <c r="A94" s="20" t="n"/>
      <c r="B94" s="21" t="n"/>
      <c r="C94" s="21" t="n"/>
      <c r="D94" s="22">
        <f>IF(B94="","",IFERROR(TEXT(B94,"yyyy-mm"),""))</f>
        <v/>
      </c>
      <c r="E94" s="20" t="n"/>
      <c r="F94" s="20" t="n"/>
      <c r="G94" s="23" t="n"/>
      <c r="H94" s="23" t="n"/>
      <c r="I94" s="20" t="n"/>
      <c r="J94" s="20" t="n"/>
      <c r="K94" s="20" t="n"/>
      <c r="L94" s="24" t="n"/>
      <c r="M94" s="25">
        <f>IF(L94="","",IFERROR(IF(AND(J94="Oui",'Paramètres'!$B$16="Oui"),L94*'Paramètres'!$B$14,0),0))</f>
        <v/>
      </c>
      <c r="N94" s="25">
        <f>IF(L94="","",IFERROR(IF(AND(K94="Oui",'Paramètres'!$B$16="Oui"),L94*'Paramètres'!$B$15,0),0))</f>
        <v/>
      </c>
      <c r="O94" s="25">
        <f>IF(L94="","",IFERROR(L94+M94+N94,0))</f>
        <v/>
      </c>
      <c r="P94" s="25">
        <f>IF(A94="","",IFERROR(IF(E94="Encaissement",O94,0),0))</f>
        <v/>
      </c>
      <c r="Q94" s="25">
        <f>IF(A94="","",IFERROR(IF(E94="Décaissement",O94,0),0))</f>
        <v/>
      </c>
      <c r="R94" s="24" t="n"/>
      <c r="S94" s="25">
        <f>IF(R94="","",IFERROR(R94-O94,""))</f>
        <v/>
      </c>
      <c r="T94" s="20" t="n"/>
      <c r="U94" s="23" t="n"/>
      <c r="W94" s="26">
        <f>IF('Paramètres'!$B$8="","",IF(DATE(YEAR('Paramètres'!$B$8),MONTH('Paramètres'!$B$8)+90,1)&gt;'Paramètres'!$B$9,"",DATE(YEAR('Paramètres'!$B$8),MONTH('Paramètres'!$B$8)+90,1)))</f>
        <v/>
      </c>
      <c r="X94" s="27">
        <f>IF($W94="","",IFERROR($AB93,0))</f>
        <v/>
      </c>
      <c r="Y94" s="27">
        <f>IF($W94="","",IFERROR(SUMIFS($P$2:$P$101,$D$2:$D$101,TEXT($W94,"yyyy-mm"),$I$2:$I$101,"&lt;&gt;Annulé"),0))</f>
        <v/>
      </c>
      <c r="Z94" s="27">
        <f>IF($W94="","",IFERROR(SUMIFS($Q$2:$Q$101,$D$2:$D$101,TEXT($W94,"yyyy-mm"),$I$2:$I$101,"&lt;&gt;Annulé"),0))</f>
        <v/>
      </c>
      <c r="AA94" s="27">
        <f>IF($W94="","",IFERROR($Y94-$Z94,0))</f>
        <v/>
      </c>
      <c r="AB94" s="27">
        <f>IF($W94="","",IFERROR($X94+$AA94,0))</f>
        <v/>
      </c>
      <c r="AC94" s="27">
        <f>IF($W94="","",IFERROR('Paramètres'!$B$11,0))</f>
        <v/>
      </c>
      <c r="AD94" s="27">
        <f>IF($W94="","",IFERROR($AB94-$AC94,0))</f>
        <v/>
      </c>
      <c r="AE94" s="28">
        <f>IF($W94="","",IFERROR(IF($AB94&lt;$AC94,"À surveiller","OK"),"À vérifier"))</f>
        <v/>
      </c>
      <c r="AF94" s="27">
        <f>IF($W94="","",IFERROR(SUMIFS($R$2:$R$101,$D$2:$D$101,TEXT($W94,"yyyy-mm"),$E$2:$E$101,"Encaissement",$I$2:$I$101,"Réalisé"),0))</f>
        <v/>
      </c>
      <c r="AG94" s="27">
        <f>IF($W94="","",IFERROR(SUMIFS($R$2:$R$101,$D$2:$D$101,TEXT($W94,"yyyy-mm"),$E$2:$E$101,"Décaissement",$I$2:$I$101,"Réalisé"),0))</f>
        <v/>
      </c>
    </row>
    <row r="95">
      <c r="A95" s="20" t="n"/>
      <c r="B95" s="21" t="n"/>
      <c r="C95" s="21" t="n"/>
      <c r="D95" s="22">
        <f>IF(B95="","",IFERROR(TEXT(B95,"yyyy-mm"),""))</f>
        <v/>
      </c>
      <c r="E95" s="20" t="n"/>
      <c r="F95" s="20" t="n"/>
      <c r="G95" s="23" t="n"/>
      <c r="H95" s="23" t="n"/>
      <c r="I95" s="20" t="n"/>
      <c r="J95" s="20" t="n"/>
      <c r="K95" s="20" t="n"/>
      <c r="L95" s="24" t="n"/>
      <c r="M95" s="25">
        <f>IF(L95="","",IFERROR(IF(AND(J95="Oui",'Paramètres'!$B$16="Oui"),L95*'Paramètres'!$B$14,0),0))</f>
        <v/>
      </c>
      <c r="N95" s="25">
        <f>IF(L95="","",IFERROR(IF(AND(K95="Oui",'Paramètres'!$B$16="Oui"),L95*'Paramètres'!$B$15,0),0))</f>
        <v/>
      </c>
      <c r="O95" s="25">
        <f>IF(L95="","",IFERROR(L95+M95+N95,0))</f>
        <v/>
      </c>
      <c r="P95" s="25">
        <f>IF(A95="","",IFERROR(IF(E95="Encaissement",O95,0),0))</f>
        <v/>
      </c>
      <c r="Q95" s="25">
        <f>IF(A95="","",IFERROR(IF(E95="Décaissement",O95,0),0))</f>
        <v/>
      </c>
      <c r="R95" s="24" t="n"/>
      <c r="S95" s="25">
        <f>IF(R95="","",IFERROR(R95-O95,""))</f>
        <v/>
      </c>
      <c r="T95" s="20" t="n"/>
      <c r="U95" s="23" t="n"/>
      <c r="W95" s="26">
        <f>IF('Paramètres'!$B$8="","",IF(DATE(YEAR('Paramètres'!$B$8),MONTH('Paramètres'!$B$8)+91,1)&gt;'Paramètres'!$B$9,"",DATE(YEAR('Paramètres'!$B$8),MONTH('Paramètres'!$B$8)+91,1)))</f>
        <v/>
      </c>
      <c r="X95" s="27">
        <f>IF($W95="","",IFERROR($AB94,0))</f>
        <v/>
      </c>
      <c r="Y95" s="27">
        <f>IF($W95="","",IFERROR(SUMIFS($P$2:$P$101,$D$2:$D$101,TEXT($W95,"yyyy-mm"),$I$2:$I$101,"&lt;&gt;Annulé"),0))</f>
        <v/>
      </c>
      <c r="Z95" s="27">
        <f>IF($W95="","",IFERROR(SUMIFS($Q$2:$Q$101,$D$2:$D$101,TEXT($W95,"yyyy-mm"),$I$2:$I$101,"&lt;&gt;Annulé"),0))</f>
        <v/>
      </c>
      <c r="AA95" s="27">
        <f>IF($W95="","",IFERROR($Y95-$Z95,0))</f>
        <v/>
      </c>
      <c r="AB95" s="27">
        <f>IF($W95="","",IFERROR($X95+$AA95,0))</f>
        <v/>
      </c>
      <c r="AC95" s="27">
        <f>IF($W95="","",IFERROR('Paramètres'!$B$11,0))</f>
        <v/>
      </c>
      <c r="AD95" s="27">
        <f>IF($W95="","",IFERROR($AB95-$AC95,0))</f>
        <v/>
      </c>
      <c r="AE95" s="28">
        <f>IF($W95="","",IFERROR(IF($AB95&lt;$AC95,"À surveiller","OK"),"À vérifier"))</f>
        <v/>
      </c>
      <c r="AF95" s="27">
        <f>IF($W95="","",IFERROR(SUMIFS($R$2:$R$101,$D$2:$D$101,TEXT($W95,"yyyy-mm"),$E$2:$E$101,"Encaissement",$I$2:$I$101,"Réalisé"),0))</f>
        <v/>
      </c>
      <c r="AG95" s="27">
        <f>IF($W95="","",IFERROR(SUMIFS($R$2:$R$101,$D$2:$D$101,TEXT($W95,"yyyy-mm"),$E$2:$E$101,"Décaissement",$I$2:$I$101,"Réalisé"),0))</f>
        <v/>
      </c>
    </row>
    <row r="96">
      <c r="A96" s="20" t="n"/>
      <c r="B96" s="21" t="n"/>
      <c r="C96" s="21" t="n"/>
      <c r="D96" s="22">
        <f>IF(B96="","",IFERROR(TEXT(B96,"yyyy-mm"),""))</f>
        <v/>
      </c>
      <c r="E96" s="20" t="n"/>
      <c r="F96" s="20" t="n"/>
      <c r="G96" s="23" t="n"/>
      <c r="H96" s="23" t="n"/>
      <c r="I96" s="20" t="n"/>
      <c r="J96" s="20" t="n"/>
      <c r="K96" s="20" t="n"/>
      <c r="L96" s="24" t="n"/>
      <c r="M96" s="25">
        <f>IF(L96="","",IFERROR(IF(AND(J96="Oui",'Paramètres'!$B$16="Oui"),L96*'Paramètres'!$B$14,0),0))</f>
        <v/>
      </c>
      <c r="N96" s="25">
        <f>IF(L96="","",IFERROR(IF(AND(K96="Oui",'Paramètres'!$B$16="Oui"),L96*'Paramètres'!$B$15,0),0))</f>
        <v/>
      </c>
      <c r="O96" s="25">
        <f>IF(L96="","",IFERROR(L96+M96+N96,0))</f>
        <v/>
      </c>
      <c r="P96" s="25">
        <f>IF(A96="","",IFERROR(IF(E96="Encaissement",O96,0),0))</f>
        <v/>
      </c>
      <c r="Q96" s="25">
        <f>IF(A96="","",IFERROR(IF(E96="Décaissement",O96,0),0))</f>
        <v/>
      </c>
      <c r="R96" s="24" t="n"/>
      <c r="S96" s="25">
        <f>IF(R96="","",IFERROR(R96-O96,""))</f>
        <v/>
      </c>
      <c r="T96" s="20" t="n"/>
      <c r="U96" s="23" t="n"/>
      <c r="W96" s="26">
        <f>IF('Paramètres'!$B$8="","",IF(DATE(YEAR('Paramètres'!$B$8),MONTH('Paramètres'!$B$8)+92,1)&gt;'Paramètres'!$B$9,"",DATE(YEAR('Paramètres'!$B$8),MONTH('Paramètres'!$B$8)+92,1)))</f>
        <v/>
      </c>
      <c r="X96" s="27">
        <f>IF($W96="","",IFERROR($AB95,0))</f>
        <v/>
      </c>
      <c r="Y96" s="27">
        <f>IF($W96="","",IFERROR(SUMIFS($P$2:$P$101,$D$2:$D$101,TEXT($W96,"yyyy-mm"),$I$2:$I$101,"&lt;&gt;Annulé"),0))</f>
        <v/>
      </c>
      <c r="Z96" s="27">
        <f>IF($W96="","",IFERROR(SUMIFS($Q$2:$Q$101,$D$2:$D$101,TEXT($W96,"yyyy-mm"),$I$2:$I$101,"&lt;&gt;Annulé"),0))</f>
        <v/>
      </c>
      <c r="AA96" s="27">
        <f>IF($W96="","",IFERROR($Y96-$Z96,0))</f>
        <v/>
      </c>
      <c r="AB96" s="27">
        <f>IF($W96="","",IFERROR($X96+$AA96,0))</f>
        <v/>
      </c>
      <c r="AC96" s="27">
        <f>IF($W96="","",IFERROR('Paramètres'!$B$11,0))</f>
        <v/>
      </c>
      <c r="AD96" s="27">
        <f>IF($W96="","",IFERROR($AB96-$AC96,0))</f>
        <v/>
      </c>
      <c r="AE96" s="28">
        <f>IF($W96="","",IFERROR(IF($AB96&lt;$AC96,"À surveiller","OK"),"À vérifier"))</f>
        <v/>
      </c>
      <c r="AF96" s="27">
        <f>IF($W96="","",IFERROR(SUMIFS($R$2:$R$101,$D$2:$D$101,TEXT($W96,"yyyy-mm"),$E$2:$E$101,"Encaissement",$I$2:$I$101,"Réalisé"),0))</f>
        <v/>
      </c>
      <c r="AG96" s="27">
        <f>IF($W96="","",IFERROR(SUMIFS($R$2:$R$101,$D$2:$D$101,TEXT($W96,"yyyy-mm"),$E$2:$E$101,"Décaissement",$I$2:$I$101,"Réalisé"),0))</f>
        <v/>
      </c>
    </row>
    <row r="97">
      <c r="A97" s="20" t="n"/>
      <c r="B97" s="21" t="n"/>
      <c r="C97" s="21" t="n"/>
      <c r="D97" s="22">
        <f>IF(B97="","",IFERROR(TEXT(B97,"yyyy-mm"),""))</f>
        <v/>
      </c>
      <c r="E97" s="20" t="n"/>
      <c r="F97" s="20" t="n"/>
      <c r="G97" s="23" t="n"/>
      <c r="H97" s="23" t="n"/>
      <c r="I97" s="20" t="n"/>
      <c r="J97" s="20" t="n"/>
      <c r="K97" s="20" t="n"/>
      <c r="L97" s="24" t="n"/>
      <c r="M97" s="25">
        <f>IF(L97="","",IFERROR(IF(AND(J97="Oui",'Paramètres'!$B$16="Oui"),L97*'Paramètres'!$B$14,0),0))</f>
        <v/>
      </c>
      <c r="N97" s="25">
        <f>IF(L97="","",IFERROR(IF(AND(K97="Oui",'Paramètres'!$B$16="Oui"),L97*'Paramètres'!$B$15,0),0))</f>
        <v/>
      </c>
      <c r="O97" s="25">
        <f>IF(L97="","",IFERROR(L97+M97+N97,0))</f>
        <v/>
      </c>
      <c r="P97" s="25">
        <f>IF(A97="","",IFERROR(IF(E97="Encaissement",O97,0),0))</f>
        <v/>
      </c>
      <c r="Q97" s="25">
        <f>IF(A97="","",IFERROR(IF(E97="Décaissement",O97,0),0))</f>
        <v/>
      </c>
      <c r="R97" s="24" t="n"/>
      <c r="S97" s="25">
        <f>IF(R97="","",IFERROR(R97-O97,""))</f>
        <v/>
      </c>
      <c r="T97" s="20" t="n"/>
      <c r="U97" s="23" t="n"/>
      <c r="W97" s="26">
        <f>IF('Paramètres'!$B$8="","",IF(DATE(YEAR('Paramètres'!$B$8),MONTH('Paramètres'!$B$8)+93,1)&gt;'Paramètres'!$B$9,"",DATE(YEAR('Paramètres'!$B$8),MONTH('Paramètres'!$B$8)+93,1)))</f>
        <v/>
      </c>
      <c r="X97" s="27">
        <f>IF($W97="","",IFERROR($AB96,0))</f>
        <v/>
      </c>
      <c r="Y97" s="27">
        <f>IF($W97="","",IFERROR(SUMIFS($P$2:$P$101,$D$2:$D$101,TEXT($W97,"yyyy-mm"),$I$2:$I$101,"&lt;&gt;Annulé"),0))</f>
        <v/>
      </c>
      <c r="Z97" s="27">
        <f>IF($W97="","",IFERROR(SUMIFS($Q$2:$Q$101,$D$2:$D$101,TEXT($W97,"yyyy-mm"),$I$2:$I$101,"&lt;&gt;Annulé"),0))</f>
        <v/>
      </c>
      <c r="AA97" s="27">
        <f>IF($W97="","",IFERROR($Y97-$Z97,0))</f>
        <v/>
      </c>
      <c r="AB97" s="27">
        <f>IF($W97="","",IFERROR($X97+$AA97,0))</f>
        <v/>
      </c>
      <c r="AC97" s="27">
        <f>IF($W97="","",IFERROR('Paramètres'!$B$11,0))</f>
        <v/>
      </c>
      <c r="AD97" s="27">
        <f>IF($W97="","",IFERROR($AB97-$AC97,0))</f>
        <v/>
      </c>
      <c r="AE97" s="28">
        <f>IF($W97="","",IFERROR(IF($AB97&lt;$AC97,"À surveiller","OK"),"À vérifier"))</f>
        <v/>
      </c>
      <c r="AF97" s="27">
        <f>IF($W97="","",IFERROR(SUMIFS($R$2:$R$101,$D$2:$D$101,TEXT($W97,"yyyy-mm"),$E$2:$E$101,"Encaissement",$I$2:$I$101,"Réalisé"),0))</f>
        <v/>
      </c>
      <c r="AG97" s="27">
        <f>IF($W97="","",IFERROR(SUMIFS($R$2:$R$101,$D$2:$D$101,TEXT($W97,"yyyy-mm"),$E$2:$E$101,"Décaissement",$I$2:$I$101,"Réalisé"),0))</f>
        <v/>
      </c>
    </row>
    <row r="98">
      <c r="A98" s="20" t="n"/>
      <c r="B98" s="21" t="n"/>
      <c r="C98" s="21" t="n"/>
      <c r="D98" s="22">
        <f>IF(B98="","",IFERROR(TEXT(B98,"yyyy-mm"),""))</f>
        <v/>
      </c>
      <c r="E98" s="20" t="n"/>
      <c r="F98" s="20" t="n"/>
      <c r="G98" s="23" t="n"/>
      <c r="H98" s="23" t="n"/>
      <c r="I98" s="20" t="n"/>
      <c r="J98" s="20" t="n"/>
      <c r="K98" s="20" t="n"/>
      <c r="L98" s="24" t="n"/>
      <c r="M98" s="25">
        <f>IF(L98="","",IFERROR(IF(AND(J98="Oui",'Paramètres'!$B$16="Oui"),L98*'Paramètres'!$B$14,0),0))</f>
        <v/>
      </c>
      <c r="N98" s="25">
        <f>IF(L98="","",IFERROR(IF(AND(K98="Oui",'Paramètres'!$B$16="Oui"),L98*'Paramètres'!$B$15,0),0))</f>
        <v/>
      </c>
      <c r="O98" s="25">
        <f>IF(L98="","",IFERROR(L98+M98+N98,0))</f>
        <v/>
      </c>
      <c r="P98" s="25">
        <f>IF(A98="","",IFERROR(IF(E98="Encaissement",O98,0),0))</f>
        <v/>
      </c>
      <c r="Q98" s="25">
        <f>IF(A98="","",IFERROR(IF(E98="Décaissement",O98,0),0))</f>
        <v/>
      </c>
      <c r="R98" s="24" t="n"/>
      <c r="S98" s="25">
        <f>IF(R98="","",IFERROR(R98-O98,""))</f>
        <v/>
      </c>
      <c r="T98" s="20" t="n"/>
      <c r="U98" s="23" t="n"/>
      <c r="W98" s="26">
        <f>IF('Paramètres'!$B$8="","",IF(DATE(YEAR('Paramètres'!$B$8),MONTH('Paramètres'!$B$8)+94,1)&gt;'Paramètres'!$B$9,"",DATE(YEAR('Paramètres'!$B$8),MONTH('Paramètres'!$B$8)+94,1)))</f>
        <v/>
      </c>
      <c r="X98" s="27">
        <f>IF($W98="","",IFERROR($AB97,0))</f>
        <v/>
      </c>
      <c r="Y98" s="27">
        <f>IF($W98="","",IFERROR(SUMIFS($P$2:$P$101,$D$2:$D$101,TEXT($W98,"yyyy-mm"),$I$2:$I$101,"&lt;&gt;Annulé"),0))</f>
        <v/>
      </c>
      <c r="Z98" s="27">
        <f>IF($W98="","",IFERROR(SUMIFS($Q$2:$Q$101,$D$2:$D$101,TEXT($W98,"yyyy-mm"),$I$2:$I$101,"&lt;&gt;Annulé"),0))</f>
        <v/>
      </c>
      <c r="AA98" s="27">
        <f>IF($W98="","",IFERROR($Y98-$Z98,0))</f>
        <v/>
      </c>
      <c r="AB98" s="27">
        <f>IF($W98="","",IFERROR($X98+$AA98,0))</f>
        <v/>
      </c>
      <c r="AC98" s="27">
        <f>IF($W98="","",IFERROR('Paramètres'!$B$11,0))</f>
        <v/>
      </c>
      <c r="AD98" s="27">
        <f>IF($W98="","",IFERROR($AB98-$AC98,0))</f>
        <v/>
      </c>
      <c r="AE98" s="28">
        <f>IF($W98="","",IFERROR(IF($AB98&lt;$AC98,"À surveiller","OK"),"À vérifier"))</f>
        <v/>
      </c>
      <c r="AF98" s="27">
        <f>IF($W98="","",IFERROR(SUMIFS($R$2:$R$101,$D$2:$D$101,TEXT($W98,"yyyy-mm"),$E$2:$E$101,"Encaissement",$I$2:$I$101,"Réalisé"),0))</f>
        <v/>
      </c>
      <c r="AG98" s="27">
        <f>IF($W98="","",IFERROR(SUMIFS($R$2:$R$101,$D$2:$D$101,TEXT($W98,"yyyy-mm"),$E$2:$E$101,"Décaissement",$I$2:$I$101,"Réalisé"),0))</f>
        <v/>
      </c>
    </row>
    <row r="99">
      <c r="A99" s="20" t="n"/>
      <c r="B99" s="21" t="n"/>
      <c r="C99" s="21" t="n"/>
      <c r="D99" s="22">
        <f>IF(B99="","",IFERROR(TEXT(B99,"yyyy-mm"),""))</f>
        <v/>
      </c>
      <c r="E99" s="20" t="n"/>
      <c r="F99" s="20" t="n"/>
      <c r="G99" s="23" t="n"/>
      <c r="H99" s="23" t="n"/>
      <c r="I99" s="20" t="n"/>
      <c r="J99" s="20" t="n"/>
      <c r="K99" s="20" t="n"/>
      <c r="L99" s="24" t="n"/>
      <c r="M99" s="25">
        <f>IF(L99="","",IFERROR(IF(AND(J99="Oui",'Paramètres'!$B$16="Oui"),L99*'Paramètres'!$B$14,0),0))</f>
        <v/>
      </c>
      <c r="N99" s="25">
        <f>IF(L99="","",IFERROR(IF(AND(K99="Oui",'Paramètres'!$B$16="Oui"),L99*'Paramètres'!$B$15,0),0))</f>
        <v/>
      </c>
      <c r="O99" s="25">
        <f>IF(L99="","",IFERROR(L99+M99+N99,0))</f>
        <v/>
      </c>
      <c r="P99" s="25">
        <f>IF(A99="","",IFERROR(IF(E99="Encaissement",O99,0),0))</f>
        <v/>
      </c>
      <c r="Q99" s="25">
        <f>IF(A99="","",IFERROR(IF(E99="Décaissement",O99,0),0))</f>
        <v/>
      </c>
      <c r="R99" s="24" t="n"/>
      <c r="S99" s="25">
        <f>IF(R99="","",IFERROR(R99-O99,""))</f>
        <v/>
      </c>
      <c r="T99" s="20" t="n"/>
      <c r="U99" s="23" t="n"/>
      <c r="W99" s="26">
        <f>IF('Paramètres'!$B$8="","",IF(DATE(YEAR('Paramètres'!$B$8),MONTH('Paramètres'!$B$8)+95,1)&gt;'Paramètres'!$B$9,"",DATE(YEAR('Paramètres'!$B$8),MONTH('Paramètres'!$B$8)+95,1)))</f>
        <v/>
      </c>
      <c r="X99" s="27">
        <f>IF($W99="","",IFERROR($AB98,0))</f>
        <v/>
      </c>
      <c r="Y99" s="27">
        <f>IF($W99="","",IFERROR(SUMIFS($P$2:$P$101,$D$2:$D$101,TEXT($W99,"yyyy-mm"),$I$2:$I$101,"&lt;&gt;Annulé"),0))</f>
        <v/>
      </c>
      <c r="Z99" s="27">
        <f>IF($W99="","",IFERROR(SUMIFS($Q$2:$Q$101,$D$2:$D$101,TEXT($W99,"yyyy-mm"),$I$2:$I$101,"&lt;&gt;Annulé"),0))</f>
        <v/>
      </c>
      <c r="AA99" s="27">
        <f>IF($W99="","",IFERROR($Y99-$Z99,0))</f>
        <v/>
      </c>
      <c r="AB99" s="27">
        <f>IF($W99="","",IFERROR($X99+$AA99,0))</f>
        <v/>
      </c>
      <c r="AC99" s="27">
        <f>IF($W99="","",IFERROR('Paramètres'!$B$11,0))</f>
        <v/>
      </c>
      <c r="AD99" s="27">
        <f>IF($W99="","",IFERROR($AB99-$AC99,0))</f>
        <v/>
      </c>
      <c r="AE99" s="28">
        <f>IF($W99="","",IFERROR(IF($AB99&lt;$AC99,"À surveiller","OK"),"À vérifier"))</f>
        <v/>
      </c>
      <c r="AF99" s="27">
        <f>IF($W99="","",IFERROR(SUMIFS($R$2:$R$101,$D$2:$D$101,TEXT($W99,"yyyy-mm"),$E$2:$E$101,"Encaissement",$I$2:$I$101,"Réalisé"),0))</f>
        <v/>
      </c>
      <c r="AG99" s="27">
        <f>IF($W99="","",IFERROR(SUMIFS($R$2:$R$101,$D$2:$D$101,TEXT($W99,"yyyy-mm"),$E$2:$E$101,"Décaissement",$I$2:$I$101,"Réalisé"),0))</f>
        <v/>
      </c>
    </row>
    <row r="100">
      <c r="A100" s="20" t="n"/>
      <c r="B100" s="21" t="n"/>
      <c r="C100" s="21" t="n"/>
      <c r="D100" s="22">
        <f>IF(B100="","",IFERROR(TEXT(B100,"yyyy-mm"),""))</f>
        <v/>
      </c>
      <c r="E100" s="20" t="n"/>
      <c r="F100" s="20" t="n"/>
      <c r="G100" s="23" t="n"/>
      <c r="H100" s="23" t="n"/>
      <c r="I100" s="20" t="n"/>
      <c r="J100" s="20" t="n"/>
      <c r="K100" s="20" t="n"/>
      <c r="L100" s="24" t="n"/>
      <c r="M100" s="25">
        <f>IF(L100="","",IFERROR(IF(AND(J100="Oui",'Paramètres'!$B$16="Oui"),L100*'Paramètres'!$B$14,0),0))</f>
        <v/>
      </c>
      <c r="N100" s="25">
        <f>IF(L100="","",IFERROR(IF(AND(K100="Oui",'Paramètres'!$B$16="Oui"),L100*'Paramètres'!$B$15,0),0))</f>
        <v/>
      </c>
      <c r="O100" s="25">
        <f>IF(L100="","",IFERROR(L100+M100+N100,0))</f>
        <v/>
      </c>
      <c r="P100" s="25">
        <f>IF(A100="","",IFERROR(IF(E100="Encaissement",O100,0),0))</f>
        <v/>
      </c>
      <c r="Q100" s="25">
        <f>IF(A100="","",IFERROR(IF(E100="Décaissement",O100,0),0))</f>
        <v/>
      </c>
      <c r="R100" s="24" t="n"/>
      <c r="S100" s="25">
        <f>IF(R100="","",IFERROR(R100-O100,""))</f>
        <v/>
      </c>
      <c r="T100" s="20" t="n"/>
      <c r="U100" s="23" t="n"/>
      <c r="W100" s="26">
        <f>IF('Paramètres'!$B$8="","",IF(DATE(YEAR('Paramètres'!$B$8),MONTH('Paramètres'!$B$8)+96,1)&gt;'Paramètres'!$B$9,"",DATE(YEAR('Paramètres'!$B$8),MONTH('Paramètres'!$B$8)+96,1)))</f>
        <v/>
      </c>
      <c r="X100" s="27">
        <f>IF($W100="","",IFERROR($AB99,0))</f>
        <v/>
      </c>
      <c r="Y100" s="27">
        <f>IF($W100="","",IFERROR(SUMIFS($P$2:$P$101,$D$2:$D$101,TEXT($W100,"yyyy-mm"),$I$2:$I$101,"&lt;&gt;Annulé"),0))</f>
        <v/>
      </c>
      <c r="Z100" s="27">
        <f>IF($W100="","",IFERROR(SUMIFS($Q$2:$Q$101,$D$2:$D$101,TEXT($W100,"yyyy-mm"),$I$2:$I$101,"&lt;&gt;Annulé"),0))</f>
        <v/>
      </c>
      <c r="AA100" s="27">
        <f>IF($W100="","",IFERROR($Y100-$Z100,0))</f>
        <v/>
      </c>
      <c r="AB100" s="27">
        <f>IF($W100="","",IFERROR($X100+$AA100,0))</f>
        <v/>
      </c>
      <c r="AC100" s="27">
        <f>IF($W100="","",IFERROR('Paramètres'!$B$11,0))</f>
        <v/>
      </c>
      <c r="AD100" s="27">
        <f>IF($W100="","",IFERROR($AB100-$AC100,0))</f>
        <v/>
      </c>
      <c r="AE100" s="28">
        <f>IF($W100="","",IFERROR(IF($AB100&lt;$AC100,"À surveiller","OK"),"À vérifier"))</f>
        <v/>
      </c>
      <c r="AF100" s="27">
        <f>IF($W100="","",IFERROR(SUMIFS($R$2:$R$101,$D$2:$D$101,TEXT($W100,"yyyy-mm"),$E$2:$E$101,"Encaissement",$I$2:$I$101,"Réalisé"),0))</f>
        <v/>
      </c>
      <c r="AG100" s="27">
        <f>IF($W100="","",IFERROR(SUMIFS($R$2:$R$101,$D$2:$D$101,TEXT($W100,"yyyy-mm"),$E$2:$E$101,"Décaissement",$I$2:$I$101,"Réalisé"),0))</f>
        <v/>
      </c>
    </row>
    <row r="101">
      <c r="A101" s="20" t="n"/>
      <c r="B101" s="21" t="n"/>
      <c r="C101" s="21" t="n"/>
      <c r="D101" s="22">
        <f>IF(B101="","",IFERROR(TEXT(B101,"yyyy-mm"),""))</f>
        <v/>
      </c>
      <c r="E101" s="20" t="n"/>
      <c r="F101" s="20" t="n"/>
      <c r="G101" s="23" t="n"/>
      <c r="H101" s="23" t="n"/>
      <c r="I101" s="20" t="n"/>
      <c r="J101" s="20" t="n"/>
      <c r="K101" s="20" t="n"/>
      <c r="L101" s="24" t="n"/>
      <c r="M101" s="25">
        <f>IF(L101="","",IFERROR(IF(AND(J101="Oui",'Paramètres'!$B$16="Oui"),L101*'Paramètres'!$B$14,0),0))</f>
        <v/>
      </c>
      <c r="N101" s="25">
        <f>IF(L101="","",IFERROR(IF(AND(K101="Oui",'Paramètres'!$B$16="Oui"),L101*'Paramètres'!$B$15,0),0))</f>
        <v/>
      </c>
      <c r="O101" s="25">
        <f>IF(L101="","",IFERROR(L101+M101+N101,0))</f>
        <v/>
      </c>
      <c r="P101" s="25">
        <f>IF(A101="","",IFERROR(IF(E101="Encaissement",O101,0),0))</f>
        <v/>
      </c>
      <c r="Q101" s="25">
        <f>IF(A101="","",IFERROR(IF(E101="Décaissement",O101,0),0))</f>
        <v/>
      </c>
      <c r="R101" s="24" t="n"/>
      <c r="S101" s="25">
        <f>IF(R101="","",IFERROR(R101-O101,""))</f>
        <v/>
      </c>
      <c r="T101" s="20" t="n"/>
      <c r="U101" s="23" t="n"/>
      <c r="W101" s="26">
        <f>IF('Paramètres'!$B$8="","",IF(DATE(YEAR('Paramètres'!$B$8),MONTH('Paramètres'!$B$8)+97,1)&gt;'Paramètres'!$B$9,"",DATE(YEAR('Paramètres'!$B$8),MONTH('Paramètres'!$B$8)+97,1)))</f>
        <v/>
      </c>
      <c r="X101" s="27">
        <f>IF($W101="","",IFERROR($AB100,0))</f>
        <v/>
      </c>
      <c r="Y101" s="27">
        <f>IF($W101="","",IFERROR(SUMIFS($P$2:$P$101,$D$2:$D$101,TEXT($W101,"yyyy-mm"),$I$2:$I$101,"&lt;&gt;Annulé"),0))</f>
        <v/>
      </c>
      <c r="Z101" s="27">
        <f>IF($W101="","",IFERROR(SUMIFS($Q$2:$Q$101,$D$2:$D$101,TEXT($W101,"yyyy-mm"),$I$2:$I$101,"&lt;&gt;Annulé"),0))</f>
        <v/>
      </c>
      <c r="AA101" s="27">
        <f>IF($W101="","",IFERROR($Y101-$Z101,0))</f>
        <v/>
      </c>
      <c r="AB101" s="27">
        <f>IF($W101="","",IFERROR($X101+$AA101,0))</f>
        <v/>
      </c>
      <c r="AC101" s="27">
        <f>IF($W101="","",IFERROR('Paramètres'!$B$11,0))</f>
        <v/>
      </c>
      <c r="AD101" s="27">
        <f>IF($W101="","",IFERROR($AB101-$AC101,0))</f>
        <v/>
      </c>
      <c r="AE101" s="28">
        <f>IF($W101="","",IFERROR(IF($AB101&lt;$AC101,"À surveiller","OK"),"À vérifier"))</f>
        <v/>
      </c>
      <c r="AF101" s="27">
        <f>IF($W101="","",IFERROR(SUMIFS($R$2:$R$101,$D$2:$D$101,TEXT($W101,"yyyy-mm"),$E$2:$E$101,"Encaissement",$I$2:$I$101,"Réalisé"),0))</f>
        <v/>
      </c>
      <c r="AG101" s="27">
        <f>IF($W101="","",IFERROR(SUMIFS($R$2:$R$101,$D$2:$D$101,TEXT($W101,"yyyy-mm"),$E$2:$E$101,"Décaissement",$I$2:$I$101,"Réalisé"),0))</f>
        <v/>
      </c>
    </row>
    <row r="104">
      <c r="A104" s="2" t="inlineStr">
        <is>
          <t>Totaux et contrôles</t>
        </is>
      </c>
      <c r="B104" s="37" t="n"/>
      <c r="C104" s="37" t="n"/>
      <c r="D104" s="38" t="n"/>
    </row>
    <row r="106">
      <c r="A106" s="7" t="inlineStr">
        <is>
          <t>Total des encaissements prévus</t>
        </is>
      </c>
      <c r="B106" s="29">
        <f>IFERROR(SUMIFS($P$2:$P$101,$I$2:$I$101,"&lt;&gt;Annulé"),0)</f>
        <v/>
      </c>
    </row>
    <row r="107">
      <c r="A107" s="7" t="inlineStr">
        <is>
          <t>Total des décaissements prévus</t>
        </is>
      </c>
      <c r="B107" s="29">
        <f>IFERROR(SUMIFS($Q$2:$Q$101,$I$2:$I$101,"&lt;&gt;Annulé"),0)</f>
        <v/>
      </c>
    </row>
    <row r="108">
      <c r="A108" s="7" t="inlineStr">
        <is>
          <t>Flux net prévu</t>
        </is>
      </c>
      <c r="B108" s="29">
        <f>IFERROR(B106-B107,0)</f>
        <v/>
      </c>
    </row>
    <row r="109">
      <c r="A109" s="7" t="inlineStr">
        <is>
          <t>Total des encaissements réels</t>
        </is>
      </c>
      <c r="B109" s="29">
        <f>IFERROR(SUMIFS($R$2:$R$101,$E$2:$E$101,"Encaissement",$I$2:$I$101,"Réalisé"),0)</f>
        <v/>
      </c>
    </row>
    <row r="110">
      <c r="A110" s="7" t="inlineStr">
        <is>
          <t>Total des décaissements réels</t>
        </is>
      </c>
      <c r="B110" s="29">
        <f>IFERROR(SUMIFS($R$2:$R$101,$E$2:$E$101,"Décaissement",$I$2:$I$101,"Réalisé"),0)</f>
        <v/>
      </c>
    </row>
    <row r="111">
      <c r="A111" s="7" t="inlineStr">
        <is>
          <t>Total des écarts absolus</t>
        </is>
      </c>
      <c r="B111" s="29">
        <f>IFERROR(SUMIF($S$2:$S$101,"&gt;=0",$S$2:$S$101)-SUMIF($S$2:$S$101,"&lt;0",$S$2:$S$101),0)</f>
        <v/>
      </c>
    </row>
    <row r="112">
      <c r="A112" s="7" t="inlineStr">
        <is>
          <t>Écart moyen</t>
        </is>
      </c>
      <c r="B112" s="29">
        <f>IFERROR(AVERAGE($S$2:$S$101),0)</f>
        <v/>
      </c>
    </row>
    <row r="113">
      <c r="A113" s="7" t="inlineStr">
        <is>
          <t>Nombre d’opérations sans date</t>
        </is>
      </c>
      <c r="B113" s="30">
        <f>IFERROR(COUNTIFS($A$2:$A$101,"&lt;&gt;",$B$2:$B$101,""),0)</f>
        <v/>
      </c>
    </row>
    <row r="114">
      <c r="A114" s="7" t="inlineStr">
        <is>
          <t>Nombre d’opérations avec montant négatif</t>
        </is>
      </c>
      <c r="B114" s="30">
        <f>IFERROR(COUNTIF($L$2:$L$101,"&lt;0"),0)</f>
        <v/>
      </c>
    </row>
    <row r="115">
      <c r="A115" s="7" t="inlineStr">
        <is>
          <t>Nombre d’IDs en double</t>
        </is>
      </c>
      <c r="B115" s="30">
        <f>IFERROR(SUMPRODUCT(--(COUNTIF($A$2:$A$101,$A$2:$A$101)&gt;1),--($A$2:$A$101&lt;&gt;"")),0)</f>
        <v/>
      </c>
    </row>
    <row r="116">
      <c r="A116" s="7" t="inlineStr">
        <is>
          <t>Contrôle des taux TPS et TVQ</t>
        </is>
      </c>
      <c r="B116" s="30">
        <f>IFERROR(IF(AND('Paramètres'!$B$14&gt;=0,'Paramètres'!$B$14&lt;=1,'Paramètres'!$B$15&gt;=0,'Paramètres'!$B$15&lt;=1),0,1),1)</f>
        <v/>
      </c>
    </row>
    <row r="117">
      <c r="A117" s="7" t="inlineStr">
        <is>
          <t>Écart source et synthèse mensuelle</t>
        </is>
      </c>
      <c r="B117" s="29">
        <f>IFERROR(ABS(B106-SUM($Y$4:$Y$101))+ABS(B107-SUM($Z$4:$Z$101)),0)</f>
        <v/>
      </c>
    </row>
    <row r="118">
      <c r="A118" s="7" t="inlineStr">
        <is>
          <t>Contrôle du solde final</t>
        </is>
      </c>
      <c r="B118" s="30">
        <f>IFERROR(IF(ABS(INDEX($AB$4:$AB$101,COUNT($AB$4:$AB$101))-('Paramètres'!$B$10+SUM($AA$4:$AA$101)))&lt;='Paramètres'!$B$22,0,1),1)</f>
        <v/>
      </c>
    </row>
    <row r="119">
      <c r="A119" s="7" t="inlineStr">
        <is>
          <t>Contrôle final principal</t>
        </is>
      </c>
      <c r="B119" s="31">
        <f>IFERROR(IF(AND(B113=0,B114=0,B115=0,B116=0,B117&lt;='Paramètres'!$B$22,B118=0),"OK","À vérifier"),"À vérifier")</f>
        <v/>
      </c>
    </row>
  </sheetData>
  <mergeCells count="1">
    <mergeCell ref="A104:D104"/>
  </mergeCells>
  <conditionalFormatting sqref="S2:S101">
    <cfRule type="cellIs" priority="1" operator="lessThan" dxfId="0">
      <formula>0</formula>
    </cfRule>
    <cfRule type="cellIs" priority="2" operator="greaterThan" dxfId="1">
      <formula>0</formula>
    </cfRule>
  </conditionalFormatting>
  <conditionalFormatting sqref="A2:A101">
    <cfRule type="expression" priority="3" dxfId="0">
      <formula>AND($A2&lt;&gt;"",COUNTIF($A$2:$A$101,$A2)&gt;1)</formula>
    </cfRule>
  </conditionalFormatting>
  <conditionalFormatting sqref="L2:L101">
    <cfRule type="cellIs" priority="4" operator="lessThan" dxfId="0">
      <formula>0</formula>
    </cfRule>
  </conditionalFormatting>
  <conditionalFormatting sqref="B119">
    <cfRule type="expression" priority="5" dxfId="1">
      <formula>$B119="OK"</formula>
    </cfRule>
    <cfRule type="expression" priority="6" dxfId="0">
      <formula>$B119="À vérifier"</formula>
    </cfRule>
  </conditionalFormatting>
  <conditionalFormatting sqref="AE4:AE101">
    <cfRule type="expression" priority="7" dxfId="0">
      <formula>$AE4="À surveiller"</formula>
    </cfRule>
    <cfRule type="expression" priority="8" dxfId="1">
      <formula>$AE4="OK"</formula>
    </cfRule>
  </conditionalFormatting>
  <conditionalFormatting sqref="AB4:AB101">
    <cfRule type="cellIs" priority="9" operator="lessThan" dxfId="0">
      <formula>0</formula>
    </cfRule>
  </conditionalFormatting>
  <conditionalFormatting sqref="AA4:AA101">
    <cfRule type="cellIs" priority="10" operator="lessThan" dxfId="2">
      <formula>0</formula>
    </cfRule>
  </conditionalFormatting>
  <dataValidations count="7">
    <dataValidation sqref="E2:E101" showErrorMessage="1" showInputMessage="1" allowBlank="1" type="list">
      <formula1>"Encaissement,Décaissement"</formula1>
    </dataValidation>
    <dataValidation sqref="F2:F101" showErrorMessage="1" showInputMessage="1" allowBlank="1" type="list">
      <formula1>"Ventes,Revenus professionnels,Subventions,Financement,Apport du propriétaire,Loyer,Salaires et charges,Fournitures,Sous-traitance,Télécommunications,Logiciels et abonnements,Transport et livraison,Publicité et marketing,Assurances,Frais bancaires,Taxes et remises gouvernementales,Remboursement d’emprunt,Achat d’immobilisation,Retrait du propriétaire,Autre"</formula1>
    </dataValidation>
    <dataValidation sqref="I2:I101" showErrorMessage="1" showInputMessage="1" allowBlank="1" type="list">
      <formula1>"Prévu,Réalisé,Annulé"</formula1>
    </dataValidation>
    <dataValidation sqref="J2:K101" showErrorMessage="1" showInputMessage="1" allowBlank="1" type="list">
      <formula1>"Oui,Non"</formula1>
    </dataValidation>
    <dataValidation sqref="L2:L101 R2:R101" showErrorMessage="1" showInputMessage="1" allowBlank="1" type="decimal" operator="greaterThanOrEqual">
      <formula1>0</formula1>
    </dataValidation>
    <dataValidation sqref="B2:C101" showErrorMessage="1" showInputMessage="1" allowBlank="1" type="date" operator="between">
      <formula1>DATE(2000,1,1)</formula1>
      <formula2>DATE(2100,12,31)</formula2>
    </dataValidation>
    <dataValidation sqref="T2:T101" showErrorMessage="1" showInputMessage="1" allowBlank="1" type="list">
      <formula1>"Virement,Carte de crédit,Carte de débit,Chèque,Prélèvement automatique,Argent comptant,Autre"</formula1>
    </dataValidation>
  </dataValidations>
  <pageMargins left="0.75" right="0.75" top="1" bottom="1" header="0.5" footer="0.5"/>
  <tableParts count="2">
    <tablePart xmlns:r="http://schemas.openxmlformats.org/officeDocument/2006/relationships" r:id="rId1"/>
    <tablePart xmlns:r="http://schemas.openxmlformats.org/officeDocument/2006/relationships" r:id="rId2"/>
  </tableParts>
</worksheet>
</file>

<file path=xl/worksheets/sheet4.xml><?xml version="1.0" encoding="utf-8"?>
<worksheet xmlns="http://schemas.openxmlformats.org/spreadsheetml/2006/main">
  <sheetPr>
    <outlinePr summaryBelow="1" summaryRight="1"/>
    <pageSetUpPr/>
  </sheetPr>
  <dimension ref="A1:H101"/>
  <sheetViews>
    <sheetView showGridLines="0" workbookViewId="0">
      <pane xSplit="1" ySplit="13" topLeftCell="B14" activePane="bottomRight" state="frozen"/>
      <selection pane="topRight" activeCell="A1" sqref="A1"/>
      <selection pane="bottomLeft" activeCell="A1" sqref="A1"/>
      <selection pane="bottomRight" activeCell="A1" sqref="A1"/>
    </sheetView>
  </sheetViews>
  <sheetFormatPr baseColWidth="8" defaultRowHeight="15"/>
  <cols>
    <col width="3" customWidth="1" min="1" max="1"/>
    <col width="18" customWidth="1" min="2" max="2"/>
    <col width="22" customWidth="1" min="3" max="3"/>
    <col width="23" customWidth="1" min="4" max="4"/>
    <col width="18" customWidth="1" min="5" max="5"/>
    <col width="24" customWidth="1" min="6" max="6"/>
    <col width="22" customWidth="1" min="7" max="7"/>
    <col width="18" customWidth="1" min="8" max="8"/>
    <col width="3"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s>
  <sheetData>
    <row r="1" ht="28" customHeight="1">
      <c r="A1" s="1" t="inlineStr">
        <is>
          <t>Tableau de bord — Budget de caisse</t>
        </is>
      </c>
    </row>
    <row r="3">
      <c r="B3" s="32" t="inlineStr">
        <is>
          <t>Solde initial</t>
        </is>
      </c>
      <c r="D3" s="32" t="inlineStr">
        <is>
          <t>Encaissements prévus</t>
        </is>
      </c>
      <c r="F3" s="32" t="inlineStr">
        <is>
          <t>Décaissements prévus</t>
        </is>
      </c>
      <c r="H3" s="32" t="inlineStr">
        <is>
          <t>Solde fermeture dernier mois</t>
        </is>
      </c>
    </row>
    <row r="4">
      <c r="B4" s="33">
        <f>IFERROR('Paramètres'!$B$10,0)</f>
        <v/>
      </c>
      <c r="D4" s="33">
        <f>IFERROR('Budget de caisse'!$B$106,0)</f>
        <v/>
      </c>
      <c r="F4" s="33">
        <f>IFERROR('Budget de caisse'!$B$107,0)</f>
        <v/>
      </c>
      <c r="H4" s="33">
        <f>IFERROR(INDEX('Budget de caisse'!$AB$4:$AB$101,COUNT('Budget de caisse'!$AB$4:$AB$101)),0)</f>
        <v/>
      </c>
    </row>
    <row r="7">
      <c r="B7" s="32" t="inlineStr">
        <is>
          <t>Mois avec solde sous le seuil</t>
        </is>
      </c>
      <c r="D7" s="32" t="inlineStr">
        <is>
          <t>Flux net total prévu</t>
        </is>
      </c>
      <c r="F7" s="32" t="inlineStr">
        <is>
          <t>Contrôle final principal</t>
        </is>
      </c>
      <c r="G7" s="37" t="n"/>
      <c r="H7" s="38" t="n"/>
    </row>
    <row r="8">
      <c r="B8" s="34">
        <f>IFERROR(COUNTIF('Budget de caisse'!$AE$4:$AE$101,"À surveiller"),0)</f>
        <v/>
      </c>
      <c r="D8" s="33">
        <f>IFERROR('Budget de caisse'!$B$108,0)</f>
        <v/>
      </c>
      <c r="F8" s="35">
        <f>IFERROR('Budget de caisse'!$B$119,"À vérifier")</f>
        <v/>
      </c>
      <c r="G8" s="37" t="n"/>
      <c r="H8" s="38" t="n"/>
    </row>
    <row r="14">
      <c r="B14" s="11" t="inlineStr">
        <is>
          <t>Période</t>
        </is>
      </c>
      <c r="C14" s="11" t="inlineStr">
        <is>
          <t>Encaissements prévus</t>
        </is>
      </c>
      <c r="D14" s="11" t="inlineStr">
        <is>
          <t>Décaissements prévus</t>
        </is>
      </c>
      <c r="E14" s="11" t="inlineStr">
        <is>
          <t>Flux net</t>
        </is>
      </c>
      <c r="F14" s="11" t="inlineStr">
        <is>
          <t>Solde de fermeture prévu</t>
        </is>
      </c>
      <c r="G14" s="11" t="inlineStr">
        <is>
          <t>Solde minimal souhaité</t>
        </is>
      </c>
      <c r="H14" s="11" t="inlineStr">
        <is>
          <t>Alerte</t>
        </is>
      </c>
    </row>
    <row r="15">
      <c r="B15" s="26">
        <f>IFERROR('Budget de caisse'!$W$4,"")</f>
        <v/>
      </c>
      <c r="C15" s="27">
        <f>IF($B15="","",IFERROR(VLOOKUP($B15,'Budget de caisse'!$W$4:$AG$101,3,0),0))</f>
        <v/>
      </c>
      <c r="D15" s="27">
        <f>IF($B15="","",IFERROR(VLOOKUP($B15,'Budget de caisse'!$W$4:$AG$101,4,0),0))</f>
        <v/>
      </c>
      <c r="E15" s="27">
        <f>IF($B15="","",IFERROR(VLOOKUP($B15,'Budget de caisse'!$W$4:$AG$101,5,0),0))</f>
        <v/>
      </c>
      <c r="F15" s="27">
        <f>IF($B15="","",IFERROR(VLOOKUP($B15,'Budget de caisse'!$W$4:$AG$101,6,0),0))</f>
        <v/>
      </c>
      <c r="G15" s="27">
        <f>IF($B15="","",IFERROR(VLOOKUP($B15,'Budget de caisse'!$W$4:$AG$101,7,0),0))</f>
        <v/>
      </c>
      <c r="H15" s="28">
        <f>IF($B15="","",IFERROR(VLOOKUP($B15,'Budget de caisse'!$W$4:$AG$101,9,0),0))</f>
        <v/>
      </c>
    </row>
    <row r="16">
      <c r="B16" s="26">
        <f>IFERROR('Budget de caisse'!$W$5,"")</f>
        <v/>
      </c>
      <c r="C16" s="27">
        <f>IF($B16="","",IFERROR(VLOOKUP($B16,'Budget de caisse'!$W$4:$AG$101,3,0),0))</f>
        <v/>
      </c>
      <c r="D16" s="27">
        <f>IF($B16="","",IFERROR(VLOOKUP($B16,'Budget de caisse'!$W$4:$AG$101,4,0),0))</f>
        <v/>
      </c>
      <c r="E16" s="27">
        <f>IF($B16="","",IFERROR(VLOOKUP($B16,'Budget de caisse'!$W$4:$AG$101,5,0),0))</f>
        <v/>
      </c>
      <c r="F16" s="27">
        <f>IF($B16="","",IFERROR(VLOOKUP($B16,'Budget de caisse'!$W$4:$AG$101,6,0),0))</f>
        <v/>
      </c>
      <c r="G16" s="27">
        <f>IF($B16="","",IFERROR(VLOOKUP($B16,'Budget de caisse'!$W$4:$AG$101,7,0),0))</f>
        <v/>
      </c>
      <c r="H16" s="28">
        <f>IF($B16="","",IFERROR(VLOOKUP($B16,'Budget de caisse'!$W$4:$AG$101,9,0),0))</f>
        <v/>
      </c>
    </row>
    <row r="17">
      <c r="B17" s="26">
        <f>IFERROR('Budget de caisse'!$W$6,"")</f>
        <v/>
      </c>
      <c r="C17" s="27">
        <f>IF($B17="","",IFERROR(VLOOKUP($B17,'Budget de caisse'!$W$4:$AG$101,3,0),0))</f>
        <v/>
      </c>
      <c r="D17" s="27">
        <f>IF($B17="","",IFERROR(VLOOKUP($B17,'Budget de caisse'!$W$4:$AG$101,4,0),0))</f>
        <v/>
      </c>
      <c r="E17" s="27">
        <f>IF($B17="","",IFERROR(VLOOKUP($B17,'Budget de caisse'!$W$4:$AG$101,5,0),0))</f>
        <v/>
      </c>
      <c r="F17" s="27">
        <f>IF($B17="","",IFERROR(VLOOKUP($B17,'Budget de caisse'!$W$4:$AG$101,6,0),0))</f>
        <v/>
      </c>
      <c r="G17" s="27">
        <f>IF($B17="","",IFERROR(VLOOKUP($B17,'Budget de caisse'!$W$4:$AG$101,7,0),0))</f>
        <v/>
      </c>
      <c r="H17" s="28">
        <f>IF($B17="","",IFERROR(VLOOKUP($B17,'Budget de caisse'!$W$4:$AG$101,9,0),0))</f>
        <v/>
      </c>
    </row>
    <row r="18">
      <c r="B18" s="26">
        <f>IFERROR('Budget de caisse'!$W$7,"")</f>
        <v/>
      </c>
      <c r="C18" s="27">
        <f>IF($B18="","",IFERROR(VLOOKUP($B18,'Budget de caisse'!$W$4:$AG$101,3,0),0))</f>
        <v/>
      </c>
      <c r="D18" s="27">
        <f>IF($B18="","",IFERROR(VLOOKUP($B18,'Budget de caisse'!$W$4:$AG$101,4,0),0))</f>
        <v/>
      </c>
      <c r="E18" s="27">
        <f>IF($B18="","",IFERROR(VLOOKUP($B18,'Budget de caisse'!$W$4:$AG$101,5,0),0))</f>
        <v/>
      </c>
      <c r="F18" s="27">
        <f>IF($B18="","",IFERROR(VLOOKUP($B18,'Budget de caisse'!$W$4:$AG$101,6,0),0))</f>
        <v/>
      </c>
      <c r="G18" s="27">
        <f>IF($B18="","",IFERROR(VLOOKUP($B18,'Budget de caisse'!$W$4:$AG$101,7,0),0))</f>
        <v/>
      </c>
      <c r="H18" s="28">
        <f>IF($B18="","",IFERROR(VLOOKUP($B18,'Budget de caisse'!$W$4:$AG$101,9,0),0))</f>
        <v/>
      </c>
    </row>
    <row r="19">
      <c r="B19" s="26">
        <f>IFERROR('Budget de caisse'!$W$8,"")</f>
        <v/>
      </c>
      <c r="C19" s="27">
        <f>IF($B19="","",IFERROR(VLOOKUP($B19,'Budget de caisse'!$W$4:$AG$101,3,0),0))</f>
        <v/>
      </c>
      <c r="D19" s="27">
        <f>IF($B19="","",IFERROR(VLOOKUP($B19,'Budget de caisse'!$W$4:$AG$101,4,0),0))</f>
        <v/>
      </c>
      <c r="E19" s="27">
        <f>IF($B19="","",IFERROR(VLOOKUP($B19,'Budget de caisse'!$W$4:$AG$101,5,0),0))</f>
        <v/>
      </c>
      <c r="F19" s="27">
        <f>IF($B19="","",IFERROR(VLOOKUP($B19,'Budget de caisse'!$W$4:$AG$101,6,0),0))</f>
        <v/>
      </c>
      <c r="G19" s="27">
        <f>IF($B19="","",IFERROR(VLOOKUP($B19,'Budget de caisse'!$W$4:$AG$101,7,0),0))</f>
        <v/>
      </c>
      <c r="H19" s="28">
        <f>IF($B19="","",IFERROR(VLOOKUP($B19,'Budget de caisse'!$W$4:$AG$101,9,0),0))</f>
        <v/>
      </c>
    </row>
    <row r="20">
      <c r="B20" s="26">
        <f>IFERROR('Budget de caisse'!$W$9,"")</f>
        <v/>
      </c>
      <c r="C20" s="27">
        <f>IF($B20="","",IFERROR(VLOOKUP($B20,'Budget de caisse'!$W$4:$AG$101,3,0),0))</f>
        <v/>
      </c>
      <c r="D20" s="27">
        <f>IF($B20="","",IFERROR(VLOOKUP($B20,'Budget de caisse'!$W$4:$AG$101,4,0),0))</f>
        <v/>
      </c>
      <c r="E20" s="27">
        <f>IF($B20="","",IFERROR(VLOOKUP($B20,'Budget de caisse'!$W$4:$AG$101,5,0),0))</f>
        <v/>
      </c>
      <c r="F20" s="27">
        <f>IF($B20="","",IFERROR(VLOOKUP($B20,'Budget de caisse'!$W$4:$AG$101,6,0),0))</f>
        <v/>
      </c>
      <c r="G20" s="27">
        <f>IF($B20="","",IFERROR(VLOOKUP($B20,'Budget de caisse'!$W$4:$AG$101,7,0),0))</f>
        <v/>
      </c>
      <c r="H20" s="28">
        <f>IF($B20="","",IFERROR(VLOOKUP($B20,'Budget de caisse'!$W$4:$AG$101,9,0),0))</f>
        <v/>
      </c>
    </row>
    <row r="21">
      <c r="B21" s="26">
        <f>IFERROR('Budget de caisse'!$W$10,"")</f>
        <v/>
      </c>
      <c r="C21" s="27">
        <f>IF($B21="","",IFERROR(VLOOKUP($B21,'Budget de caisse'!$W$4:$AG$101,3,0),0))</f>
        <v/>
      </c>
      <c r="D21" s="27">
        <f>IF($B21="","",IFERROR(VLOOKUP($B21,'Budget de caisse'!$W$4:$AG$101,4,0),0))</f>
        <v/>
      </c>
      <c r="E21" s="27">
        <f>IF($B21="","",IFERROR(VLOOKUP($B21,'Budget de caisse'!$W$4:$AG$101,5,0),0))</f>
        <v/>
      </c>
      <c r="F21" s="27">
        <f>IF($B21="","",IFERROR(VLOOKUP($B21,'Budget de caisse'!$W$4:$AG$101,6,0),0))</f>
        <v/>
      </c>
      <c r="G21" s="27">
        <f>IF($B21="","",IFERROR(VLOOKUP($B21,'Budget de caisse'!$W$4:$AG$101,7,0),0))</f>
        <v/>
      </c>
      <c r="H21" s="28">
        <f>IF($B21="","",IFERROR(VLOOKUP($B21,'Budget de caisse'!$W$4:$AG$101,9,0),0))</f>
        <v/>
      </c>
    </row>
    <row r="22">
      <c r="B22" s="26">
        <f>IFERROR('Budget de caisse'!$W$11,"")</f>
        <v/>
      </c>
      <c r="C22" s="27">
        <f>IF($B22="","",IFERROR(VLOOKUP($B22,'Budget de caisse'!$W$4:$AG$101,3,0),0))</f>
        <v/>
      </c>
      <c r="D22" s="27">
        <f>IF($B22="","",IFERROR(VLOOKUP($B22,'Budget de caisse'!$W$4:$AG$101,4,0),0))</f>
        <v/>
      </c>
      <c r="E22" s="27">
        <f>IF($B22="","",IFERROR(VLOOKUP($B22,'Budget de caisse'!$W$4:$AG$101,5,0),0))</f>
        <v/>
      </c>
      <c r="F22" s="27">
        <f>IF($B22="","",IFERROR(VLOOKUP($B22,'Budget de caisse'!$W$4:$AG$101,6,0),0))</f>
        <v/>
      </c>
      <c r="G22" s="27">
        <f>IF($B22="","",IFERROR(VLOOKUP($B22,'Budget de caisse'!$W$4:$AG$101,7,0),0))</f>
        <v/>
      </c>
      <c r="H22" s="28">
        <f>IF($B22="","",IFERROR(VLOOKUP($B22,'Budget de caisse'!$W$4:$AG$101,9,0),0))</f>
        <v/>
      </c>
    </row>
    <row r="23">
      <c r="B23" s="26">
        <f>IFERROR('Budget de caisse'!$W$12,"")</f>
        <v/>
      </c>
      <c r="C23" s="27">
        <f>IF($B23="","",IFERROR(VLOOKUP($B23,'Budget de caisse'!$W$4:$AG$101,3,0),0))</f>
        <v/>
      </c>
      <c r="D23" s="27">
        <f>IF($B23="","",IFERROR(VLOOKUP($B23,'Budget de caisse'!$W$4:$AG$101,4,0),0))</f>
        <v/>
      </c>
      <c r="E23" s="27">
        <f>IF($B23="","",IFERROR(VLOOKUP($B23,'Budget de caisse'!$W$4:$AG$101,5,0),0))</f>
        <v/>
      </c>
      <c r="F23" s="27">
        <f>IF($B23="","",IFERROR(VLOOKUP($B23,'Budget de caisse'!$W$4:$AG$101,6,0),0))</f>
        <v/>
      </c>
      <c r="G23" s="27">
        <f>IF($B23="","",IFERROR(VLOOKUP($B23,'Budget de caisse'!$W$4:$AG$101,7,0),0))</f>
        <v/>
      </c>
      <c r="H23" s="28">
        <f>IF($B23="","",IFERROR(VLOOKUP($B23,'Budget de caisse'!$W$4:$AG$101,9,0),0))</f>
        <v/>
      </c>
    </row>
    <row r="24">
      <c r="B24" s="26">
        <f>IFERROR('Budget de caisse'!$W$13,"")</f>
        <v/>
      </c>
      <c r="C24" s="27">
        <f>IF($B24="","",IFERROR(VLOOKUP($B24,'Budget de caisse'!$W$4:$AG$101,3,0),0))</f>
        <v/>
      </c>
      <c r="D24" s="27">
        <f>IF($B24="","",IFERROR(VLOOKUP($B24,'Budget de caisse'!$W$4:$AG$101,4,0),0))</f>
        <v/>
      </c>
      <c r="E24" s="27">
        <f>IF($B24="","",IFERROR(VLOOKUP($B24,'Budget de caisse'!$W$4:$AG$101,5,0),0))</f>
        <v/>
      </c>
      <c r="F24" s="27">
        <f>IF($B24="","",IFERROR(VLOOKUP($B24,'Budget de caisse'!$W$4:$AG$101,6,0),0))</f>
        <v/>
      </c>
      <c r="G24" s="27">
        <f>IF($B24="","",IFERROR(VLOOKUP($B24,'Budget de caisse'!$W$4:$AG$101,7,0),0))</f>
        <v/>
      </c>
      <c r="H24" s="28">
        <f>IF($B24="","",IFERROR(VLOOKUP($B24,'Budget de caisse'!$W$4:$AG$101,9,0),0))</f>
        <v/>
      </c>
    </row>
    <row r="25">
      <c r="B25" s="26">
        <f>IFERROR('Budget de caisse'!$W$14,"")</f>
        <v/>
      </c>
      <c r="C25" s="27">
        <f>IF($B25="","",IFERROR(VLOOKUP($B25,'Budget de caisse'!$W$4:$AG$101,3,0),0))</f>
        <v/>
      </c>
      <c r="D25" s="27">
        <f>IF($B25="","",IFERROR(VLOOKUP($B25,'Budget de caisse'!$W$4:$AG$101,4,0),0))</f>
        <v/>
      </c>
      <c r="E25" s="27">
        <f>IF($B25="","",IFERROR(VLOOKUP($B25,'Budget de caisse'!$W$4:$AG$101,5,0),0))</f>
        <v/>
      </c>
      <c r="F25" s="27">
        <f>IF($B25="","",IFERROR(VLOOKUP($B25,'Budget de caisse'!$W$4:$AG$101,6,0),0))</f>
        <v/>
      </c>
      <c r="G25" s="27">
        <f>IF($B25="","",IFERROR(VLOOKUP($B25,'Budget de caisse'!$W$4:$AG$101,7,0),0))</f>
        <v/>
      </c>
      <c r="H25" s="28">
        <f>IF($B25="","",IFERROR(VLOOKUP($B25,'Budget de caisse'!$W$4:$AG$101,9,0),0))</f>
        <v/>
      </c>
    </row>
    <row r="26">
      <c r="B26" s="26">
        <f>IFERROR('Budget de caisse'!$W$15,"")</f>
        <v/>
      </c>
      <c r="C26" s="27">
        <f>IF($B26="","",IFERROR(VLOOKUP($B26,'Budget de caisse'!$W$4:$AG$101,3,0),0))</f>
        <v/>
      </c>
      <c r="D26" s="27">
        <f>IF($B26="","",IFERROR(VLOOKUP($B26,'Budget de caisse'!$W$4:$AG$101,4,0),0))</f>
        <v/>
      </c>
      <c r="E26" s="27">
        <f>IF($B26="","",IFERROR(VLOOKUP($B26,'Budget de caisse'!$W$4:$AG$101,5,0),0))</f>
        <v/>
      </c>
      <c r="F26" s="27">
        <f>IF($B26="","",IFERROR(VLOOKUP($B26,'Budget de caisse'!$W$4:$AG$101,6,0),0))</f>
        <v/>
      </c>
      <c r="G26" s="27">
        <f>IF($B26="","",IFERROR(VLOOKUP($B26,'Budget de caisse'!$W$4:$AG$101,7,0),0))</f>
        <v/>
      </c>
      <c r="H26" s="28">
        <f>IF($B26="","",IFERROR(VLOOKUP($B26,'Budget de caisse'!$W$4:$AG$101,9,0),0))</f>
        <v/>
      </c>
    </row>
    <row r="29">
      <c r="B29" s="2" t="inlineStr">
        <is>
          <t>Points à vérifier</t>
        </is>
      </c>
      <c r="C29" s="37" t="n"/>
      <c r="D29" s="37" t="n"/>
      <c r="E29" s="37" t="n"/>
      <c r="F29" s="37" t="n"/>
      <c r="G29" s="37" t="n"/>
      <c r="H29" s="38" t="n"/>
    </row>
    <row r="30">
      <c r="B30" s="36">
        <f>IFERROR(IF($B$8=0,"Aucun mois sous le seuil minimal","Un ou plusieurs mois sont sous le seuil minimal"),"À vérifier")</f>
        <v/>
      </c>
      <c r="C30" s="37" t="n"/>
      <c r="D30" s="37" t="n"/>
      <c r="E30" s="37" t="n"/>
      <c r="F30" s="37" t="n"/>
      <c r="G30" s="37" t="n"/>
      <c r="H30" s="38" t="n"/>
    </row>
    <row r="31">
      <c r="B31" s="36">
        <f>IFERROR(IF(AND('Paramètres'!$B$14&gt;=0,'Paramètres'!$B$14&lt;=1,'Paramètres'!$B$15&gt;=0,'Paramètres'!$B$15&lt;=1),"Taux TPS et TVQ : contrôle réussi","Vérifier les taux de TPS et de TVQ dans Paramètres"),"Vérifier les taux de TPS et de TVQ dans Paramètres")</f>
        <v/>
      </c>
      <c r="C31" s="37" t="n"/>
      <c r="D31" s="37" t="n"/>
      <c r="E31" s="37" t="n"/>
      <c r="F31" s="37" t="n"/>
      <c r="G31" s="37" t="n"/>
      <c r="H31" s="38" t="n"/>
    </row>
    <row r="32">
      <c r="B32" s="36">
        <f>IFERROR(IF(COUNTIFS('Budget de caisse'!$A$2:$A$101,"&lt;&gt;",'Budget de caisse'!$F$2:$F$101,"")=0,"Toutes les opérations ont une catégorie","Vérifier les opérations sans catégorie"),"À vérifier")</f>
        <v/>
      </c>
      <c r="C32" s="37" t="n"/>
      <c r="D32" s="37" t="n"/>
      <c r="E32" s="37" t="n"/>
      <c r="F32" s="37" t="n"/>
      <c r="G32" s="37" t="n"/>
      <c r="H32" s="38" t="n"/>
    </row>
    <row r="33">
      <c r="B33" s="36">
        <f>IFERROR(IF('Budget de caisse'!$B$115=0,"Tous les IDs sont uniques","Vérifier les IDs en double"),"À vérifier")</f>
        <v/>
      </c>
      <c r="C33" s="37" t="n"/>
      <c r="D33" s="37" t="n"/>
      <c r="E33" s="37" t="n"/>
      <c r="F33" s="37" t="n"/>
      <c r="G33" s="37" t="n"/>
      <c r="H33" s="38" t="n"/>
    </row>
    <row r="101">
      <c r="B101">
        <f>""</f>
        <v/>
      </c>
      <c r="C101">
        <f>""</f>
        <v/>
      </c>
      <c r="D101">
        <f>""</f>
        <v/>
      </c>
      <c r="E101">
        <f>""</f>
        <v/>
      </c>
      <c r="F101">
        <f>""</f>
        <v/>
      </c>
      <c r="G101">
        <f>""</f>
        <v/>
      </c>
      <c r="H101">
        <f>""</f>
        <v/>
      </c>
    </row>
  </sheetData>
  <mergeCells count="8">
    <mergeCell ref="A1:H1"/>
    <mergeCell ref="F7:H7"/>
    <mergeCell ref="F8:H8"/>
    <mergeCell ref="B29:H29"/>
    <mergeCell ref="B30:H30"/>
    <mergeCell ref="B31:H31"/>
    <mergeCell ref="B32:H32"/>
    <mergeCell ref="B33:H33"/>
  </mergeCells>
  <conditionalFormatting sqref="F8:H8">
    <cfRule type="expression" priority="1" dxfId="1">
      <formula>$F$8="OK"</formula>
    </cfRule>
    <cfRule type="expression" priority="2" dxfId="0">
      <formula>$F$8="À vérifier"</formula>
    </cfRule>
  </conditionalFormatting>
  <conditionalFormatting sqref="B30:H30">
    <cfRule type="expression" priority="3" dxfId="0">
      <formula>$B$30="Un ou plusieurs mois sont sous le seuil minimal"</formula>
    </cfRule>
  </conditionalFormatting>
  <conditionalFormatting sqref="B31:H31">
    <cfRule type="expression" priority="4" dxfId="0">
      <formula>$B$31="Vérifier les taux de TPS et de TVQ dans Paramètres"</formula>
    </cfRule>
  </conditionalFormatting>
  <conditionalFormatting sqref="B32:H32">
    <cfRule type="expression" priority="5" dxfId="0">
      <formula>$B$32="Vérifier les opérations sans catégorie"</formula>
    </cfRule>
  </conditionalFormatting>
  <conditionalFormatting sqref="B33:H33">
    <cfRule type="expression" priority="6" dxfId="0">
      <formula>$B$33="Vérifier les IDs en double"</formula>
    </cfRule>
  </conditionalFormatting>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2026-08-26T20:15:19Z</dcterms:created>
  <dcterms:modified xmlns:dcterms="http://purl.org/dc/terms/" xmlns:xsi="http://www.w3.org/2001/XMLSchema-instance" xsi:type="dcterms:W3CDTF">2026-08-26T20:15:19Z</dcterms:modified>
</cp:coreProperties>
</file>