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Journal des revenus" sheetId="2" state="visible" r:id="rId2"/>
    <sheet xmlns:r="http://schemas.openxmlformats.org/officeDocument/2006/relationships" name="Clients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1" hidden="1">'Journal des revenus'!$A$4:$Y$104</definedName>
    <definedName name="_xlnm._FilterDatabase" localSheetId="2" hidden="1">'Clients'!$A$3:$J$103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 [$CAD-100C];[Red](#,##0.00 [$CAD-100C])"/>
    <numFmt numFmtId="166" formatCode="mmmm 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F1F1F"/>
      <sz val="10"/>
    </font>
    <font>
      <name val="Aptos"/>
      <b val="1"/>
      <color rgb="00FFFFFF"/>
      <sz val="11"/>
    </font>
    <font>
      <name val="Aptos"/>
      <i val="1"/>
      <color rgb="00C73939"/>
      <sz val="10"/>
    </font>
    <font>
      <name val="Aptos"/>
      <i val="1"/>
      <color rgb="00404040"/>
      <sz val="10"/>
    </font>
  </fonts>
  <fills count="9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FF4D6"/>
      </patternFill>
    </fill>
    <fill>
      <patternFill patternType="solid">
        <fgColor rgb="002D6A9F"/>
      </patternFill>
    </fill>
    <fill>
      <patternFill patternType="solid">
        <fgColor rgb="00F2F7FB"/>
      </patternFill>
    </fill>
    <fill>
      <patternFill patternType="solid">
        <fgColor rgb="00FFFFFF"/>
      </patternFill>
    </fill>
    <fill>
      <patternFill patternType="solid">
        <fgColor rgb="00E8F0F7"/>
      </patternFill>
    </fill>
    <fill>
      <patternFill patternType="solid">
        <fgColor rgb="00EAF1F7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1" pivotButton="0" quotePrefix="0" xfId="0"/>
    <xf numFmtId="164" fontId="0" fillId="3" borderId="1" pivotButton="0" quotePrefix="0" xfId="0"/>
    <xf numFmtId="0" fontId="3" fillId="4" borderId="0" pivotButton="0" quotePrefix="0" xfId="0"/>
    <xf numFmtId="165" fontId="2" fillId="8" borderId="1" pivotButton="0" quotePrefix="0" xfId="0"/>
    <xf numFmtId="0" fontId="2" fillId="8" borderId="1" pivotButton="0" quotePrefix="0" xfId="0"/>
    <xf numFmtId="10" fontId="2" fillId="8" borderId="1" pivotButton="0" quotePrefix="0" xfId="0"/>
    <xf numFmtId="1" fontId="2" fillId="8" borderId="1" pivotButton="0" quotePrefix="0" xfId="0"/>
    <xf numFmtId="0" fontId="3" fillId="2" borderId="1" applyAlignment="1" pivotButton="0" quotePrefix="0" xfId="0">
      <alignment horizontal="center" vertical="center"/>
    </xf>
    <xf numFmtId="166" fontId="0" fillId="5" borderId="1" pivotButton="0" quotePrefix="0" xfId="0"/>
    <xf numFmtId="165" fontId="0" fillId="5" borderId="1" pivotButton="0" quotePrefix="0" xfId="0"/>
    <xf numFmtId="166" fontId="0" fillId="6" borderId="1" pivotButton="0" quotePrefix="0" xfId="0"/>
    <xf numFmtId="165" fontId="0" fillId="6" borderId="1" pivotButton="0" quotePrefix="0" xfId="0"/>
    <xf numFmtId="0" fontId="5" fillId="7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left" vertical="center"/>
    </xf>
    <xf numFmtId="0" fontId="0" fillId="8" borderId="1" applyAlignment="1" pivotButton="0" quotePrefix="0" xfId="0">
      <alignment horizontal="left" vertical="center"/>
    </xf>
    <xf numFmtId="165" fontId="0" fillId="3" borderId="1" applyAlignment="1" pivotButton="0" quotePrefix="0" xfId="0">
      <alignment horizontal="left" vertical="center"/>
    </xf>
    <xf numFmtId="10" fontId="0" fillId="8" borderId="1" applyAlignment="1" pivotButton="0" quotePrefix="0" xfId="0">
      <alignment horizontal="left" vertical="center"/>
    </xf>
    <xf numFmtId="165" fontId="0" fillId="8" borderId="1" applyAlignment="1" pivotButton="0" quotePrefix="0" xfId="0">
      <alignment horizontal="left" vertical="center"/>
    </xf>
    <xf numFmtId="1" fontId="0" fillId="3" borderId="1" applyAlignment="1" pivotButton="0" quotePrefix="0" xfId="0">
      <alignment horizontal="left" vertical="center"/>
    </xf>
    <xf numFmtId="0" fontId="3" fillId="4" borderId="0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10" fontId="0" fillId="5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left" vertical="center"/>
    </xf>
    <xf numFmtId="10" fontId="0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4" fillId="0" borderId="0" applyAlignment="1" pivotButton="0" quotePrefix="0" xfId="0">
      <alignment vertical="center" wrapText="1"/>
    </xf>
    <xf numFmtId="0" fontId="0" fillId="5" borderId="1" pivotButton="0" quotePrefix="0" xfId="0"/>
    <xf numFmtId="0" fontId="3" fillId="2" borderId="1" pivotButton="0" quotePrefix="0" xfId="0"/>
  </cellXfs>
  <cellStyles count="1">
    <cellStyle name="Normal" xfId="0" builtinId="0" hidden="0"/>
  </cellStyles>
  <dxfs count="5"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ont>
        <name val="Aptos"/>
        <b val="1"/>
        <color rgb="00C66A00"/>
        <sz val="10"/>
      </font>
    </dxf>
    <dxf>
      <fill>
        <patternFill patternType="solid">
          <fgColor rgb="00FFF4D6"/>
        </patternFill>
      </fill>
    </dxf>
    <dxf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Revenus facturés et encaissements mensuels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bord'!B21</f>
            </strRef>
          </tx>
          <spPr>
            <a:solidFill xmlns:a="http://schemas.openxmlformats.org/drawingml/2006/main">
              <a:srgbClr val="004B87"/>
            </a:solidFill>
            <a:ln xmlns:a="http://schemas.openxmlformats.org/drawingml/2006/main">
              <a:prstDash val="solid"/>
            </a:ln>
          </spPr>
          <cat>
            <numRef>
              <f>'Tableau de bord'!$A$22:$A$33</f>
            </numRef>
          </cat>
          <val>
            <numRef>
              <f>'Tableau de bord'!$B$22:$B$33</f>
            </numRef>
          </val>
        </ser>
        <ser>
          <idx val="1"/>
          <order val="1"/>
          <tx>
            <strRef>
              <f>'Tableau de bord'!C21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'Tableau de bord'!$A$22:$A$33</f>
            </numRef>
          </cat>
          <val>
            <numRef>
              <f>'Tableau de bord'!$C$22:$C$33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 canadiens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Modèle Excel</author>
  </authors>
  <commentList>
    <comment ref="B6" authorId="0" shapeId="0">
      <text>
        <t>Date utilisée pour repérer les échéances dépassées dans le journal.</t>
      </text>
    </comment>
    <comment ref="B8" authorId="0" shapeId="0">
      <text>
        <t>Les taux de taxe doivent être validés selon votre inscription aux fichiers de taxes.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19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JournalRevenus" displayName="tblJournalRevenus" ref="A4:Y104" headerRowCount="1">
  <autoFilter ref="A4:Y104"/>
  <tableColumns count="25">
    <tableColumn id="1" name="No de facture"/>
    <tableColumn id="2" name="Date de facture"/>
    <tableColumn id="3" name="Date d’échéance"/>
    <tableColumn id="4" name="Code client"/>
    <tableColumn id="5" name="Client"/>
    <tableColumn id="6" name="Description du revenu"/>
    <tableColumn id="7" name="Catégorie de revenus"/>
    <tableColumn id="8" name="Code de taxe"/>
    <tableColumn id="9" name="Montant avant taxes"/>
    <tableColumn id="10" name="Taux TPS"/>
    <tableColumn id="11" name="TPS"/>
    <tableColumn id="12" name="Taux TVQ"/>
    <tableColumn id="13" name="TVQ"/>
    <tableColumn id="14" name="Total facturé"/>
    <tableColumn id="15" name="Montant encaissé TTC"/>
    <tableColumn id="16" name="Date du dernier paiement"/>
    <tableColumn id="17" name="Mode de paiement"/>
    <tableColumn id="18" name="Statut de paiement"/>
    <tableColumn id="19" name="Solde à recevoir TTC"/>
    <tableColumn id="20" name="Montant encaissé HT"/>
    <tableColumn id="21" name="TPS encaissée"/>
    <tableColumn id="22" name="TVQ encaissée"/>
    <tableColumn id="23" name="Écart de calcul"/>
    <tableColumn id="24" name="Alerte"/>
    <tableColumn id="25" name="Notes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blClients" displayName="tblClients" ref="A3:J103" headerRowCount="1">
  <autoFilter ref="A3:J103"/>
  <tableColumns count="10">
    <tableColumn id="1" name="Code client"/>
    <tableColumn id="2" name="Nom du client"/>
    <tableColumn id="3" name="Personne-ressource"/>
    <tableColumn id="4" name="Courriel"/>
    <tableColumn id="5" name="Ville"/>
    <tableColumn id="6" name="Province"/>
    <tableColumn id="7" name="Code de taxe habituel"/>
    <tableColumn id="8" name="Délai de paiement habituel (jours)"/>
    <tableColumn id="9" name="Actif"/>
    <tableColumn id="10" name="Notes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tblTaxes" displayName="tblTaxes" ref="A11:E14" headerRowCount="1">
  <autoFilter ref="A11:E14"/>
  <tableColumns count="5">
    <tableColumn id="1" name="Code de taxe"/>
    <tableColumn id="2" name="Description"/>
    <tableColumn id="3" name="Taux TPS"/>
    <tableColumn id="4" name="Mode de paiement"/>
    <tableColumn id="5" name="Actif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tblCategoriesRevenus" displayName="tblCategoriesRevenus" ref="A19:B27" headerRowCount="1">
  <autoFilter ref="A19:B27"/>
  <tableColumns count="2">
    <tableColumn id="1" name="Catégorie de revenus"/>
    <tableColumn id="2" name="Actif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1" customWidth="1" min="2" max="2"/>
    <col width="22" customWidth="1" min="3" max="3"/>
    <col width="30" customWidth="1" min="4" max="4"/>
    <col width="22" customWidth="1" min="5" max="5"/>
    <col width="16" customWidth="1" min="6" max="6"/>
  </cols>
  <sheetData>
    <row r="1" ht="28" customHeight="1">
      <c r="A1" s="1" t="inlineStr">
        <is>
          <t>Sommaire — Journal des revenus</t>
        </is>
      </c>
    </row>
    <row r="2"/>
    <row r="3">
      <c r="A3" s="2" t="inlineStr">
        <is>
          <t>Date de début</t>
        </is>
      </c>
      <c r="B3" s="3" t="n">
        <v>46023</v>
      </c>
    </row>
    <row r="4">
      <c r="A4" s="2" t="inlineStr">
        <is>
          <t>Date de fin</t>
        </is>
      </c>
      <c r="B4" s="3" t="n">
        <v>46387</v>
      </c>
    </row>
    <row r="5">
      <c r="A5" s="2" t="inlineStr">
        <is>
          <t>Date de référence des comptes à recevoir</t>
        </is>
      </c>
      <c r="B5" s="3">
        <f>'Paramètres'!$B$6</f>
        <v/>
      </c>
    </row>
    <row r="6"/>
    <row r="7"/>
    <row r="8">
      <c r="A8" s="4" t="inlineStr">
        <is>
          <t>Indicateurs de la période</t>
        </is>
      </c>
      <c r="D8" s="4" t="inlineStr">
        <is>
          <t>Contrôles</t>
        </is>
      </c>
    </row>
    <row r="9">
      <c r="A9" s="2" t="inlineStr">
        <is>
          <t>Revenus facturés avant taxes</t>
        </is>
      </c>
      <c r="B9" s="5">
        <f>IFERROR(SUMIFS('Journal des revenus'!$I$5:$I$104,'Journal des revenus'!$B$5:$B$104,"&gt;="&amp;$B$3,'Journal des revenus'!$B$5:$B$104,"&lt;="&amp;$B$4),0)</f>
        <v/>
      </c>
      <c r="D9" s="2" t="inlineStr">
        <is>
          <t>Factures avec alerte</t>
        </is>
      </c>
      <c r="E9" s="6">
        <f>IFERROR(COUNTIFS('Journal des revenus'!$X$5:$X$104,"&lt;&gt;OK",'Journal des revenus'!$X$5:$X$104,"&lt;&gt;"),0)</f>
        <v/>
      </c>
    </row>
    <row r="10">
      <c r="A10" s="2" t="inlineStr">
        <is>
          <t>Total facturé, taxes incluses</t>
        </is>
      </c>
      <c r="B10" s="5">
        <f>IFERROR(SUMIFS('Journal des revenus'!$N$5:$N$104,'Journal des revenus'!$B$5:$B$104,"&gt;="&amp;$B$3,'Journal des revenus'!$B$5:$B$104,"&lt;="&amp;$B$4),0)</f>
        <v/>
      </c>
      <c r="D10" s="2" t="inlineStr">
        <is>
          <t>Factures non payées</t>
        </is>
      </c>
      <c r="E10" s="6">
        <f>IFERROR(COUNTIFS('Journal des revenus'!$R$5:$R$104,"Non payé"),0)</f>
        <v/>
      </c>
    </row>
    <row r="11">
      <c r="A11" s="2" t="inlineStr">
        <is>
          <t>Montants encaissés, taxes incluses</t>
        </is>
      </c>
      <c r="B11" s="5">
        <f>IFERROR(SUMIFS('Journal des revenus'!$O$5:$O$104,'Journal des revenus'!$B$5:$B$104,"&gt;="&amp;$B$3,'Journal des revenus'!$B$5:$B$104,"&lt;="&amp;$B$4),0)</f>
        <v/>
      </c>
      <c r="D11" s="2" t="inlineStr">
        <is>
          <t>Factures partiellement payées</t>
        </is>
      </c>
      <c r="E11" s="6">
        <f>IFERROR(COUNTIFS('Journal des revenus'!$R$5:$R$104,"Partiellement payé"),0)</f>
        <v/>
      </c>
    </row>
    <row r="12">
      <c r="A12" s="2" t="inlineStr">
        <is>
          <t>Solde total à recevoir</t>
        </is>
      </c>
      <c r="B12" s="5">
        <f>IFERROR(SUMIFS('Journal des revenus'!$S$5:$S$104,'Journal des revenus'!$B$5:$B$104,"&gt;="&amp;$B$3,'Journal des revenus'!$B$5:$B$104,"&lt;="&amp;$B$4),0)</f>
        <v/>
      </c>
      <c r="D12" s="2" t="inlineStr">
        <is>
          <t>Échéances dépassées</t>
        </is>
      </c>
      <c r="E12" s="6">
        <f>IFERROR(COUNTIFS('Journal des revenus'!$X$5:$X$104,"Échéance dépassée"),0)</f>
        <v/>
      </c>
    </row>
    <row r="13">
      <c r="A13" s="2" t="inlineStr">
        <is>
          <t>TPS facturée</t>
        </is>
      </c>
      <c r="B13" s="5">
        <f>IFERROR(SUMIFS('Journal des revenus'!$K$5:$K$104,'Journal des revenus'!$B$5:$B$104,"&gt;="&amp;$B$3,'Journal des revenus'!$B$5:$B$104,"&lt;="&amp;$B$4),0)</f>
        <v/>
      </c>
      <c r="D13" s="2" t="inlineStr">
        <is>
          <t>Écart de contrôle du journal</t>
        </is>
      </c>
      <c r="E13" s="5">
        <f>IFERROR(SUM('Journal des revenus'!$W$5:$W$104),0)</f>
        <v/>
      </c>
    </row>
    <row r="14">
      <c r="A14" s="2" t="inlineStr">
        <is>
          <t>TVQ facturée</t>
        </is>
      </c>
      <c r="B14" s="5">
        <f>IFERROR(SUMIFS('Journal des revenus'!$M$5:$M$104,'Journal des revenus'!$B$5:$B$104,"&gt;="&amp;$B$3,'Journal des revenus'!$B$5:$B$104,"&lt;="&amp;$B$4),0)</f>
        <v/>
      </c>
    </row>
    <row r="15">
      <c r="A15" s="2" t="inlineStr">
        <is>
          <t>Taux d’encaissement</t>
        </is>
      </c>
      <c r="B15" s="7">
        <f>IFERROR(B11/B10,0)</f>
        <v/>
      </c>
      <c r="D15" s="2" t="inlineStr">
        <is>
          <t>Statut du journal</t>
        </is>
      </c>
      <c r="E15" s="6">
        <f>IF(AND(E9=0,MAX(E13,-E13)&lt;0.01),"Journal conforme","Vérification requise")</f>
        <v/>
      </c>
    </row>
    <row r="16">
      <c r="A16" s="2" t="inlineStr">
        <is>
          <t>Nombre de factures</t>
        </is>
      </c>
      <c r="B16" s="8">
        <f>IFERROR(COUNTIFS('Journal des revenus'!$B$5:$B$104,"&gt;="&amp;$B$3,'Journal des revenus'!$B$5:$B$104,"&lt;="&amp;$B$4),0)</f>
        <v/>
      </c>
      <c r="E16">
        <f>""</f>
        <v/>
      </c>
    </row>
    <row r="17">
      <c r="E17">
        <f>""</f>
        <v/>
      </c>
    </row>
    <row r="18">
      <c r="E18">
        <f>""</f>
        <v/>
      </c>
    </row>
    <row r="19">
      <c r="E19">
        <f>""</f>
        <v/>
      </c>
    </row>
    <row r="20">
      <c r="A20" s="4" t="inlineStr">
        <is>
          <t>Revenus mensuels</t>
        </is>
      </c>
      <c r="E20">
        <f>""</f>
        <v/>
      </c>
    </row>
    <row r="21">
      <c r="A21" s="9" t="inlineStr">
        <is>
          <t>Mois</t>
        </is>
      </c>
      <c r="B21" s="9" t="inlineStr">
        <is>
          <t>Revenus facturés avant taxes</t>
        </is>
      </c>
      <c r="C21" s="9" t="inlineStr">
        <is>
          <t>Montants encaissés TTC</t>
        </is>
      </c>
      <c r="D21" s="9" t="inlineStr">
        <is>
          <t>Solde à recevoir TTC</t>
        </is>
      </c>
      <c r="E21">
        <f>""</f>
        <v/>
      </c>
    </row>
    <row r="22">
      <c r="A22" s="10">
        <f>DATE('Paramètres'!$B$5,1,1)</f>
        <v/>
      </c>
      <c r="B22" s="11">
        <f>IFERROR(SUMIFS('Journal des revenus'!$I$5:$I$104,'Journal des revenus'!$B$5:$B$104,"&gt;="&amp;A22,'Journal des revenus'!$B$5:$B$104,"&lt;"&amp;DATE(YEAR(A22),MONTH(A22)+1,1)),0)</f>
        <v/>
      </c>
      <c r="C22" s="11">
        <f>IFERROR(SUMIFS('Journal des revenus'!$O$5:$O$104,'Journal des revenus'!$B$5:$B$104,"&gt;="&amp;A22,'Journal des revenus'!$B$5:$B$104,"&lt;"&amp;DATE(YEAR(A22),MONTH(A22)+1,1)),0)</f>
        <v/>
      </c>
      <c r="D22" s="11">
        <f>IFERROR(SUMIFS('Journal des revenus'!$S$5:$S$104,'Journal des revenus'!$B$5:$B$104,"&gt;="&amp;A22,'Journal des revenus'!$B$5:$B$104,"&lt;"&amp;DATE(YEAR(A22),MONTH(A22)+1,1)),0)</f>
        <v/>
      </c>
      <c r="E22">
        <f>""</f>
        <v/>
      </c>
    </row>
    <row r="23">
      <c r="A23" s="12">
        <f>DATE(YEAR(A22),MONTH(A22)+1,1)</f>
        <v/>
      </c>
      <c r="B23" s="13">
        <f>IFERROR(SUMIFS('Journal des revenus'!$I$5:$I$104,'Journal des revenus'!$B$5:$B$104,"&gt;="&amp;A23,'Journal des revenus'!$B$5:$B$104,"&lt;"&amp;DATE(YEAR(A23),MONTH(A23)+1,1)),0)</f>
        <v/>
      </c>
      <c r="C23" s="13">
        <f>IFERROR(SUMIFS('Journal des revenus'!$O$5:$O$104,'Journal des revenus'!$B$5:$B$104,"&gt;="&amp;A23,'Journal des revenus'!$B$5:$B$104,"&lt;"&amp;DATE(YEAR(A23),MONTH(A23)+1,1)),0)</f>
        <v/>
      </c>
      <c r="D23" s="13">
        <f>IFERROR(SUMIFS('Journal des revenus'!$S$5:$S$104,'Journal des revenus'!$B$5:$B$104,"&gt;="&amp;A23,'Journal des revenus'!$B$5:$B$104,"&lt;"&amp;DATE(YEAR(A23),MONTH(A23)+1,1)),0)</f>
        <v/>
      </c>
      <c r="E23">
        <f>""</f>
        <v/>
      </c>
    </row>
    <row r="24">
      <c r="A24" s="10">
        <f>DATE(YEAR(A23),MONTH(A23)+1,1)</f>
        <v/>
      </c>
      <c r="B24" s="11">
        <f>IFERROR(SUMIFS('Journal des revenus'!$I$5:$I$104,'Journal des revenus'!$B$5:$B$104,"&gt;="&amp;A24,'Journal des revenus'!$B$5:$B$104,"&lt;"&amp;DATE(YEAR(A24),MONTH(A24)+1,1)),0)</f>
        <v/>
      </c>
      <c r="C24" s="11">
        <f>IFERROR(SUMIFS('Journal des revenus'!$O$5:$O$104,'Journal des revenus'!$B$5:$B$104,"&gt;="&amp;A24,'Journal des revenus'!$B$5:$B$104,"&lt;"&amp;DATE(YEAR(A24),MONTH(A24)+1,1)),0)</f>
        <v/>
      </c>
      <c r="D24" s="11">
        <f>IFERROR(SUMIFS('Journal des revenus'!$S$5:$S$104,'Journal des revenus'!$B$5:$B$104,"&gt;="&amp;A24,'Journal des revenus'!$B$5:$B$104,"&lt;"&amp;DATE(YEAR(A24),MONTH(A24)+1,1)),0)</f>
        <v/>
      </c>
      <c r="E24">
        <f>""</f>
        <v/>
      </c>
    </row>
    <row r="25">
      <c r="A25" s="12">
        <f>DATE(YEAR(A24),MONTH(A24)+1,1)</f>
        <v/>
      </c>
      <c r="B25" s="13">
        <f>IFERROR(SUMIFS('Journal des revenus'!$I$5:$I$104,'Journal des revenus'!$B$5:$B$104,"&gt;="&amp;A25,'Journal des revenus'!$B$5:$B$104,"&lt;"&amp;DATE(YEAR(A25),MONTH(A25)+1,1)),0)</f>
        <v/>
      </c>
      <c r="C25" s="13">
        <f>IFERROR(SUMIFS('Journal des revenus'!$O$5:$O$104,'Journal des revenus'!$B$5:$B$104,"&gt;="&amp;A25,'Journal des revenus'!$B$5:$B$104,"&lt;"&amp;DATE(YEAR(A25),MONTH(A25)+1,1)),0)</f>
        <v/>
      </c>
      <c r="D25" s="13">
        <f>IFERROR(SUMIFS('Journal des revenus'!$S$5:$S$104,'Journal des revenus'!$B$5:$B$104,"&gt;="&amp;A25,'Journal des revenus'!$B$5:$B$104,"&lt;"&amp;DATE(YEAR(A25),MONTH(A25)+1,1)),0)</f>
        <v/>
      </c>
      <c r="E25">
        <f>""</f>
        <v/>
      </c>
    </row>
    <row r="26">
      <c r="A26" s="10">
        <f>DATE(YEAR(A25),MONTH(A25)+1,1)</f>
        <v/>
      </c>
      <c r="B26" s="11">
        <f>IFERROR(SUMIFS('Journal des revenus'!$I$5:$I$104,'Journal des revenus'!$B$5:$B$104,"&gt;="&amp;A26,'Journal des revenus'!$B$5:$B$104,"&lt;"&amp;DATE(YEAR(A26),MONTH(A26)+1,1)),0)</f>
        <v/>
      </c>
      <c r="C26" s="11">
        <f>IFERROR(SUMIFS('Journal des revenus'!$O$5:$O$104,'Journal des revenus'!$B$5:$B$104,"&gt;="&amp;A26,'Journal des revenus'!$B$5:$B$104,"&lt;"&amp;DATE(YEAR(A26),MONTH(A26)+1,1)),0)</f>
        <v/>
      </c>
      <c r="D26" s="11">
        <f>IFERROR(SUMIFS('Journal des revenus'!$S$5:$S$104,'Journal des revenus'!$B$5:$B$104,"&gt;="&amp;A26,'Journal des revenus'!$B$5:$B$104,"&lt;"&amp;DATE(YEAR(A26),MONTH(A26)+1,1)),0)</f>
        <v/>
      </c>
      <c r="E26">
        <f>""</f>
        <v/>
      </c>
    </row>
    <row r="27">
      <c r="A27" s="12">
        <f>DATE(YEAR(A26),MONTH(A26)+1,1)</f>
        <v/>
      </c>
      <c r="B27" s="13">
        <f>IFERROR(SUMIFS('Journal des revenus'!$I$5:$I$104,'Journal des revenus'!$B$5:$B$104,"&gt;="&amp;A27,'Journal des revenus'!$B$5:$B$104,"&lt;"&amp;DATE(YEAR(A27),MONTH(A27)+1,1)),0)</f>
        <v/>
      </c>
      <c r="C27" s="13">
        <f>IFERROR(SUMIFS('Journal des revenus'!$O$5:$O$104,'Journal des revenus'!$B$5:$B$104,"&gt;="&amp;A27,'Journal des revenus'!$B$5:$B$104,"&lt;"&amp;DATE(YEAR(A27),MONTH(A27)+1,1)),0)</f>
        <v/>
      </c>
      <c r="D27" s="13">
        <f>IFERROR(SUMIFS('Journal des revenus'!$S$5:$S$104,'Journal des revenus'!$B$5:$B$104,"&gt;="&amp;A27,'Journal des revenus'!$B$5:$B$104,"&lt;"&amp;DATE(YEAR(A27),MONTH(A27)+1,1)),0)</f>
        <v/>
      </c>
      <c r="E27">
        <f>""</f>
        <v/>
      </c>
    </row>
    <row r="28">
      <c r="A28" s="10">
        <f>DATE(YEAR(A27),MONTH(A27)+1,1)</f>
        <v/>
      </c>
      <c r="B28" s="11">
        <f>IFERROR(SUMIFS('Journal des revenus'!$I$5:$I$104,'Journal des revenus'!$B$5:$B$104,"&gt;="&amp;A28,'Journal des revenus'!$B$5:$B$104,"&lt;"&amp;DATE(YEAR(A28),MONTH(A28)+1,1)),0)</f>
        <v/>
      </c>
      <c r="C28" s="11">
        <f>IFERROR(SUMIFS('Journal des revenus'!$O$5:$O$104,'Journal des revenus'!$B$5:$B$104,"&gt;="&amp;A28,'Journal des revenus'!$B$5:$B$104,"&lt;"&amp;DATE(YEAR(A28),MONTH(A28)+1,1)),0)</f>
        <v/>
      </c>
      <c r="D28" s="11">
        <f>IFERROR(SUMIFS('Journal des revenus'!$S$5:$S$104,'Journal des revenus'!$B$5:$B$104,"&gt;="&amp;A28,'Journal des revenus'!$B$5:$B$104,"&lt;"&amp;DATE(YEAR(A28),MONTH(A28)+1,1)),0)</f>
        <v/>
      </c>
      <c r="E28">
        <f>""</f>
        <v/>
      </c>
    </row>
    <row r="29">
      <c r="A29" s="12">
        <f>DATE(YEAR(A28),MONTH(A28)+1,1)</f>
        <v/>
      </c>
      <c r="B29" s="13">
        <f>IFERROR(SUMIFS('Journal des revenus'!$I$5:$I$104,'Journal des revenus'!$B$5:$B$104,"&gt;="&amp;A29,'Journal des revenus'!$B$5:$B$104,"&lt;"&amp;DATE(YEAR(A29),MONTH(A29)+1,1)),0)</f>
        <v/>
      </c>
      <c r="C29" s="13">
        <f>IFERROR(SUMIFS('Journal des revenus'!$O$5:$O$104,'Journal des revenus'!$B$5:$B$104,"&gt;="&amp;A29,'Journal des revenus'!$B$5:$B$104,"&lt;"&amp;DATE(YEAR(A29),MONTH(A29)+1,1)),0)</f>
        <v/>
      </c>
      <c r="D29" s="13">
        <f>IFERROR(SUMIFS('Journal des revenus'!$S$5:$S$104,'Journal des revenus'!$B$5:$B$104,"&gt;="&amp;A29,'Journal des revenus'!$B$5:$B$104,"&lt;"&amp;DATE(YEAR(A29),MONTH(A29)+1,1)),0)</f>
        <v/>
      </c>
      <c r="E29">
        <f>""</f>
        <v/>
      </c>
    </row>
    <row r="30">
      <c r="A30" s="10">
        <f>DATE(YEAR(A29),MONTH(A29)+1,1)</f>
        <v/>
      </c>
      <c r="B30" s="11">
        <f>IFERROR(SUMIFS('Journal des revenus'!$I$5:$I$104,'Journal des revenus'!$B$5:$B$104,"&gt;="&amp;A30,'Journal des revenus'!$B$5:$B$104,"&lt;"&amp;DATE(YEAR(A30),MONTH(A30)+1,1)),0)</f>
        <v/>
      </c>
      <c r="C30" s="11">
        <f>IFERROR(SUMIFS('Journal des revenus'!$O$5:$O$104,'Journal des revenus'!$B$5:$B$104,"&gt;="&amp;A30,'Journal des revenus'!$B$5:$B$104,"&lt;"&amp;DATE(YEAR(A30),MONTH(A30)+1,1)),0)</f>
        <v/>
      </c>
      <c r="D30" s="11">
        <f>IFERROR(SUMIFS('Journal des revenus'!$S$5:$S$104,'Journal des revenus'!$B$5:$B$104,"&gt;="&amp;A30,'Journal des revenus'!$B$5:$B$104,"&lt;"&amp;DATE(YEAR(A30),MONTH(A30)+1,1)),0)</f>
        <v/>
      </c>
      <c r="E30">
        <f>""</f>
        <v/>
      </c>
    </row>
    <row r="31">
      <c r="A31" s="12">
        <f>DATE(YEAR(A30),MONTH(A30)+1,1)</f>
        <v/>
      </c>
      <c r="B31" s="13">
        <f>IFERROR(SUMIFS('Journal des revenus'!$I$5:$I$104,'Journal des revenus'!$B$5:$B$104,"&gt;="&amp;A31,'Journal des revenus'!$B$5:$B$104,"&lt;"&amp;DATE(YEAR(A31),MONTH(A31)+1,1)),0)</f>
        <v/>
      </c>
      <c r="C31" s="13">
        <f>IFERROR(SUMIFS('Journal des revenus'!$O$5:$O$104,'Journal des revenus'!$B$5:$B$104,"&gt;="&amp;A31,'Journal des revenus'!$B$5:$B$104,"&lt;"&amp;DATE(YEAR(A31),MONTH(A31)+1,1)),0)</f>
        <v/>
      </c>
      <c r="D31" s="13">
        <f>IFERROR(SUMIFS('Journal des revenus'!$S$5:$S$104,'Journal des revenus'!$B$5:$B$104,"&gt;="&amp;A31,'Journal des revenus'!$B$5:$B$104,"&lt;"&amp;DATE(YEAR(A31),MONTH(A31)+1,1)),0)</f>
        <v/>
      </c>
      <c r="E31">
        <f>""</f>
        <v/>
      </c>
    </row>
    <row r="32">
      <c r="A32" s="10">
        <f>DATE(YEAR(A31),MONTH(A31)+1,1)</f>
        <v/>
      </c>
      <c r="B32" s="11">
        <f>IFERROR(SUMIFS('Journal des revenus'!$I$5:$I$104,'Journal des revenus'!$B$5:$B$104,"&gt;="&amp;A32,'Journal des revenus'!$B$5:$B$104,"&lt;"&amp;DATE(YEAR(A32),MONTH(A32)+1,1)),0)</f>
        <v/>
      </c>
      <c r="C32" s="11">
        <f>IFERROR(SUMIFS('Journal des revenus'!$O$5:$O$104,'Journal des revenus'!$B$5:$B$104,"&gt;="&amp;A32,'Journal des revenus'!$B$5:$B$104,"&lt;"&amp;DATE(YEAR(A32),MONTH(A32)+1,1)),0)</f>
        <v/>
      </c>
      <c r="D32" s="11">
        <f>IFERROR(SUMIFS('Journal des revenus'!$S$5:$S$104,'Journal des revenus'!$B$5:$B$104,"&gt;="&amp;A32,'Journal des revenus'!$B$5:$B$104,"&lt;"&amp;DATE(YEAR(A32),MONTH(A32)+1,1)),0)</f>
        <v/>
      </c>
      <c r="E32">
        <f>""</f>
        <v/>
      </c>
    </row>
    <row r="33">
      <c r="A33" s="12">
        <f>DATE(YEAR(A32),MONTH(A32)+1,1)</f>
        <v/>
      </c>
      <c r="B33" s="13">
        <f>IFERROR(SUMIFS('Journal des revenus'!$I$5:$I$104,'Journal des revenus'!$B$5:$B$104,"&gt;="&amp;A33,'Journal des revenus'!$B$5:$B$104,"&lt;"&amp;DATE(YEAR(A33),MONTH(A33)+1,1)),0)</f>
        <v/>
      </c>
      <c r="C33" s="13">
        <f>IFERROR(SUMIFS('Journal des revenus'!$O$5:$O$104,'Journal des revenus'!$B$5:$B$104,"&gt;="&amp;A33,'Journal des revenus'!$B$5:$B$104,"&lt;"&amp;DATE(YEAR(A33),MONTH(A33)+1,1)),0)</f>
        <v/>
      </c>
      <c r="D33" s="13">
        <f>IFERROR(SUMIFS('Journal des revenus'!$S$5:$S$104,'Journal des revenus'!$B$5:$B$104,"&gt;="&amp;A33,'Journal des revenus'!$B$5:$B$104,"&lt;"&amp;DATE(YEAR(A33),MONTH(A33)+1,1)),0)</f>
        <v/>
      </c>
      <c r="E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</row>
  </sheetData>
  <mergeCells count="4">
    <mergeCell ref="A1:J1"/>
    <mergeCell ref="A8:B8"/>
    <mergeCell ref="D8:E8"/>
    <mergeCell ref="A20:D20"/>
  </mergeCells>
  <conditionalFormatting sqref="E15">
    <cfRule type="expression" priority="1" dxfId="0">
      <formula>E15="Journal conforme"</formula>
    </cfRule>
    <cfRule type="expression" priority="2" dxfId="1">
      <formula>E15="Vérification requise"</formula>
    </cfRule>
  </conditionalFormatting>
  <dataValidations count="1">
    <dataValidation sqref="B3:B4" showErrorMessage="1" showInputMessage="1" allowBlank="0" type="date" operator="between">
      <formula1>DATE(2020,1,1)</formula1>
      <formula2>DATE(2100,12,31)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5" customWidth="1" min="3" max="3"/>
    <col width="14" customWidth="1" min="4" max="4"/>
    <col width="25" customWidth="1" min="5" max="5"/>
    <col width="36" customWidth="1" min="6" max="6"/>
    <col width="24" customWidth="1" min="7" max="7"/>
    <col width="15" customWidth="1" min="8" max="8"/>
    <col width="18" customWidth="1" min="9" max="9"/>
    <col width="12" customWidth="1" min="10" max="10"/>
    <col width="14" customWidth="1" min="11" max="11"/>
    <col width="12" customWidth="1" min="12" max="12"/>
    <col width="14" customWidth="1" min="13" max="13"/>
    <col width="16" customWidth="1" min="14" max="14"/>
    <col width="19" customWidth="1" min="15" max="15"/>
    <col width="18" customWidth="1" min="16" max="16"/>
    <col width="20" customWidth="1" min="17" max="17"/>
    <col width="20" customWidth="1" min="18" max="18"/>
    <col width="19" customWidth="1" min="19" max="19"/>
    <col width="19" customWidth="1" min="20" max="20"/>
    <col width="15" customWidth="1" min="21" max="21"/>
    <col width="15" customWidth="1" min="22" max="22"/>
    <col width="15" customWidth="1" min="23" max="23"/>
    <col width="30" customWidth="1" min="24" max="24"/>
    <col width="30" customWidth="1" min="25" max="25"/>
  </cols>
  <sheetData>
    <row r="1" ht="26" customHeight="1">
      <c r="A1" s="1" t="inlineStr">
        <is>
          <t>Journal des revenus</t>
        </is>
      </c>
    </row>
    <row r="2">
      <c r="A2" s="14" t="inlineStr">
        <is>
          <t>Saisir une ligne par facture ou revenu. Les colonnes grisées sont calculées automatiquement.</t>
        </is>
      </c>
    </row>
    <row r="4" ht="42" customHeight="1">
      <c r="A4" s="15" t="inlineStr">
        <is>
          <t>No de facture</t>
        </is>
      </c>
      <c r="B4" s="15" t="inlineStr">
        <is>
          <t>Date de facture</t>
        </is>
      </c>
      <c r="C4" s="15" t="inlineStr">
        <is>
          <t>Date d’échéance</t>
        </is>
      </c>
      <c r="D4" s="15" t="inlineStr">
        <is>
          <t>Code client</t>
        </is>
      </c>
      <c r="E4" s="15" t="inlineStr">
        <is>
          <t>Client</t>
        </is>
      </c>
      <c r="F4" s="15" t="inlineStr">
        <is>
          <t>Description du revenu</t>
        </is>
      </c>
      <c r="G4" s="15" t="inlineStr">
        <is>
          <t>Catégorie de revenus</t>
        </is>
      </c>
      <c r="H4" s="15" t="inlineStr">
        <is>
          <t>Code de taxe</t>
        </is>
      </c>
      <c r="I4" s="15" t="inlineStr">
        <is>
          <t>Montant avant taxes</t>
        </is>
      </c>
      <c r="J4" s="15" t="inlineStr">
        <is>
          <t>Taux TPS</t>
        </is>
      </c>
      <c r="K4" s="15" t="inlineStr">
        <is>
          <t>TPS</t>
        </is>
      </c>
      <c r="L4" s="15" t="inlineStr">
        <is>
          <t>Taux TVQ</t>
        </is>
      </c>
      <c r="M4" s="15" t="inlineStr">
        <is>
          <t>TVQ</t>
        </is>
      </c>
      <c r="N4" s="15" t="inlineStr">
        <is>
          <t>Total facturé</t>
        </is>
      </c>
      <c r="O4" s="15" t="inlineStr">
        <is>
          <t>Montant encaissé TTC</t>
        </is>
      </c>
      <c r="P4" s="15" t="inlineStr">
        <is>
          <t>Date du dernier paiement</t>
        </is>
      </c>
      <c r="Q4" s="15" t="inlineStr">
        <is>
          <t>Mode de paiement</t>
        </is>
      </c>
      <c r="R4" s="15" t="inlineStr">
        <is>
          <t>Statut de paiement</t>
        </is>
      </c>
      <c r="S4" s="15" t="inlineStr">
        <is>
          <t>Solde à recevoir TTC</t>
        </is>
      </c>
      <c r="T4" s="15" t="inlineStr">
        <is>
          <t>Montant encaissé HT</t>
        </is>
      </c>
      <c r="U4" s="15" t="inlineStr">
        <is>
          <t>TPS encaissée</t>
        </is>
      </c>
      <c r="V4" s="15" t="inlineStr">
        <is>
          <t>TVQ encaissée</t>
        </is>
      </c>
      <c r="W4" s="15" t="inlineStr">
        <is>
          <t>Écart de calcul</t>
        </is>
      </c>
      <c r="X4" s="15" t="inlineStr">
        <is>
          <t>Alerte</t>
        </is>
      </c>
      <c r="Y4" s="15" t="inlineStr">
        <is>
          <t>Notes</t>
        </is>
      </c>
    </row>
    <row r="5">
      <c r="A5" s="16" t="inlineStr">
        <is>
          <t>2026-001</t>
        </is>
      </c>
      <c r="B5" s="17" t="n">
        <v>46057</v>
      </c>
      <c r="C5" s="17" t="n">
        <v>46087</v>
      </c>
      <c r="D5" s="16" t="inlineStr">
        <is>
          <t>CLI-001</t>
        </is>
      </c>
      <c r="E5" s="18">
        <f>IF(D5="","",IFERROR(VLOOKUP(D5,'Clients'!$A$4:$J$103,2,FALSE),"Client introuvable"))</f>
        <v/>
      </c>
      <c r="F5" s="16" t="inlineStr">
        <is>
          <t>Analyse des processus administratifs</t>
        </is>
      </c>
      <c r="G5" s="16" t="inlineStr">
        <is>
          <t>Consultation</t>
        </is>
      </c>
      <c r="H5" s="16" t="inlineStr">
        <is>
          <t>TPS-TVQ</t>
        </is>
      </c>
      <c r="I5" s="19" t="n">
        <v>1250</v>
      </c>
      <c r="J5" s="20">
        <f>IF(H5="","",IFERROR(VLOOKUP(H5,'Paramètres'!$A$12:$D$14,3,FALSE),0))</f>
        <v/>
      </c>
      <c r="K5" s="21">
        <f>IF(I5="","",ROUND(I5*J5,2))</f>
        <v/>
      </c>
      <c r="L5" s="20">
        <f>IF(H5="","",IFERROR(VLOOKUP(H5,'Paramètres'!$A$12:$D$14,4,FALSE),0))</f>
        <v/>
      </c>
      <c r="M5" s="21">
        <f>IF(I5="","",ROUND(I5*L5,2))</f>
        <v/>
      </c>
      <c r="N5" s="21">
        <f>IF(I5="","",ROUND(I5+K5+M5,2))</f>
        <v/>
      </c>
      <c r="O5" s="19" t="n">
        <v>1437.19</v>
      </c>
      <c r="P5" s="17" t="n">
        <v>46087</v>
      </c>
      <c r="Q5" s="16" t="inlineStr">
        <is>
          <t>Virement bancaire</t>
        </is>
      </c>
      <c r="R5" s="18">
        <f>IF(A5="","",IF(O5&lt;=0,"Non payé",IF(O5&lt;N5,"Partiellement payé",IF(O5&gt;N5,"À vérifier","Payé"))))</f>
        <v/>
      </c>
      <c r="S5" s="21">
        <f>IF(A5="","",ROUND(N5-O5,2))</f>
        <v/>
      </c>
      <c r="T5" s="21">
        <f>IF(A5="","",IFERROR(MIN(I5,ROUND(O5/N5*I5,2)),0))</f>
        <v/>
      </c>
      <c r="U5" s="21">
        <f>IF(A5="","",IFERROR(ROUND(O5/N5*K5,2),0))</f>
        <v/>
      </c>
      <c r="V5" s="21">
        <f>IF(A5="","",IFERROR(ROUND(O5/N5*M5,2),0))</f>
        <v/>
      </c>
      <c r="W5" s="21">
        <f>IF(A5="","",ROUND(N5-(I5+K5+M5),2))</f>
        <v/>
      </c>
      <c r="X5" s="18">
        <f>IF(A5="","",IF(E5="Client introuvable","Code client introuvable",IF(O5&gt;N5,"Encaissement supérieur au total",IF(AND(C5&lt;B5,C5&lt;&gt;""),"Date d’échéance invalide",IF(MAX(W5,-W5)&gt;0.01,"Écart de calcul à vérifier",IF(AND(R5&lt;&gt;"Payé",C5&lt;'Paramètres'!$B$6,C5&lt;&gt;""),"Échéance dépassée","OK"))))))</f>
        <v/>
      </c>
      <c r="Y5" s="16" t="inlineStr">
        <is>
          <t>Payée intégralement</t>
        </is>
      </c>
    </row>
    <row r="6">
      <c r="A6" s="16" t="inlineStr">
        <is>
          <t>2026-002</t>
        </is>
      </c>
      <c r="B6" s="17" t="n">
        <v>46077</v>
      </c>
      <c r="C6" s="17" t="n">
        <v>46107</v>
      </c>
      <c r="D6" s="16" t="inlineStr">
        <is>
          <t>CLI-002</t>
        </is>
      </c>
      <c r="E6" s="18">
        <f>IF(D6="","",IFERROR(VLOOKUP(D6,'Clients'!$A$4:$J$103,2,FALSE),"Client introuvable"))</f>
        <v/>
      </c>
      <c r="F6" s="16" t="inlineStr">
        <is>
          <t>Soutien à la facturation mensuelle</t>
        </is>
      </c>
      <c r="G6" s="16" t="inlineStr">
        <is>
          <t>Services administratifs</t>
        </is>
      </c>
      <c r="H6" s="16" t="inlineStr">
        <is>
          <t>TPS-TVQ</t>
        </is>
      </c>
      <c r="I6" s="19" t="n">
        <v>875</v>
      </c>
      <c r="J6" s="20">
        <f>IF(H6="","",IFERROR(VLOOKUP(H6,'Paramètres'!$A$12:$D$14,3,FALSE),0))</f>
        <v/>
      </c>
      <c r="K6" s="21">
        <f>IF(I6="","",ROUND(I6*J6,2))</f>
        <v/>
      </c>
      <c r="L6" s="20">
        <f>IF(H6="","",IFERROR(VLOOKUP(H6,'Paramètres'!$A$12:$D$14,4,FALSE),0))</f>
        <v/>
      </c>
      <c r="M6" s="21">
        <f>IF(I6="","",ROUND(I6*L6,2))</f>
        <v/>
      </c>
      <c r="N6" s="21">
        <f>IF(I6="","",ROUND(I6+K6+M6,2))</f>
        <v/>
      </c>
      <c r="O6" s="19" t="n">
        <v>1006.03</v>
      </c>
      <c r="P6" s="17" t="n">
        <v>46107</v>
      </c>
      <c r="Q6" s="16" t="inlineStr">
        <is>
          <t>Dépôt direct</t>
        </is>
      </c>
      <c r="R6" s="18">
        <f>IF(A6="","",IF(O6&lt;=0,"Non payé",IF(O6&lt;N6,"Partiellement payé",IF(O6&gt;N6,"À vérifier","Payé"))))</f>
        <v/>
      </c>
      <c r="S6" s="21">
        <f>IF(A6="","",ROUND(N6-O6,2))</f>
        <v/>
      </c>
      <c r="T6" s="21">
        <f>IF(A6="","",IFERROR(MIN(I6,ROUND(O6/N6*I6,2)),0))</f>
        <v/>
      </c>
      <c r="U6" s="21">
        <f>IF(A6="","",IFERROR(ROUND(O6/N6*K6,2),0))</f>
        <v/>
      </c>
      <c r="V6" s="21">
        <f>IF(A6="","",IFERROR(ROUND(O6/N6*M6,2),0))</f>
        <v/>
      </c>
      <c r="W6" s="21">
        <f>IF(A6="","",ROUND(N6-(I6+K6+M6),2))</f>
        <v/>
      </c>
      <c r="X6" s="18">
        <f>IF(A6="","",IF(E6="Client introuvable","Code client introuvable",IF(O6&gt;N6,"Encaissement supérieur au total",IF(AND(C6&lt;B6,C6&lt;&gt;""),"Date d’échéance invalide",IF(MAX(W6,-W6)&gt;0.01,"Écart de calcul à vérifier",IF(AND(R6&lt;&gt;"Payé",C6&lt;'Paramètres'!$B$6,C6&lt;&gt;""),"Échéance dépassée","OK"))))))</f>
        <v/>
      </c>
      <c r="Y6" s="16" t="inlineStr">
        <is>
          <t>Payée intégralement</t>
        </is>
      </c>
    </row>
    <row r="7">
      <c r="A7" s="16" t="inlineStr">
        <is>
          <t>2026-003</t>
        </is>
      </c>
      <c r="B7" s="17" t="n">
        <v>46102</v>
      </c>
      <c r="C7" s="17" t="n">
        <v>46132</v>
      </c>
      <c r="D7" s="16" t="inlineStr">
        <is>
          <t>CLI-003</t>
        </is>
      </c>
      <c r="E7" s="18">
        <f>IF(D7="","",IFERROR(VLOOKUP(D7,'Clients'!$A$4:$J$103,2,FALSE),"Client introuvable"))</f>
        <v/>
      </c>
      <c r="F7" s="16" t="inlineStr">
        <is>
          <t>Formation Excel pour l’équipe administrative</t>
        </is>
      </c>
      <c r="G7" s="16" t="inlineStr">
        <is>
          <t>Formation</t>
        </is>
      </c>
      <c r="H7" s="16" t="inlineStr">
        <is>
          <t>TPS-TVQ</t>
        </is>
      </c>
      <c r="I7" s="19" t="n">
        <v>2200</v>
      </c>
      <c r="J7" s="20">
        <f>IF(H7="","",IFERROR(VLOOKUP(H7,'Paramètres'!$A$12:$D$14,3,FALSE),0))</f>
        <v/>
      </c>
      <c r="K7" s="21">
        <f>IF(I7="","",ROUND(I7*J7,2))</f>
        <v/>
      </c>
      <c r="L7" s="20">
        <f>IF(H7="","",IFERROR(VLOOKUP(H7,'Paramètres'!$A$12:$D$14,4,FALSE),0))</f>
        <v/>
      </c>
      <c r="M7" s="21">
        <f>IF(I7="","",ROUND(I7*L7,2))</f>
        <v/>
      </c>
      <c r="N7" s="21">
        <f>IF(I7="","",ROUND(I7+K7+M7,2))</f>
        <v/>
      </c>
      <c r="O7" s="19" t="n">
        <v>1264.75</v>
      </c>
      <c r="P7" s="17" t="n">
        <v>46132</v>
      </c>
      <c r="Q7" s="16" t="inlineStr">
        <is>
          <t>Chèque</t>
        </is>
      </c>
      <c r="R7" s="18">
        <f>IF(A7="","",IF(O7&lt;=0,"Non payé",IF(O7&lt;N7,"Partiellement payé",IF(O7&gt;N7,"À vérifier","Payé"))))</f>
        <v/>
      </c>
      <c r="S7" s="21">
        <f>IF(A7="","",ROUND(N7-O7,2))</f>
        <v/>
      </c>
      <c r="T7" s="21">
        <f>IF(A7="","",IFERROR(MIN(I7,ROUND(O7/N7*I7,2)),0))</f>
        <v/>
      </c>
      <c r="U7" s="21">
        <f>IF(A7="","",IFERROR(ROUND(O7/N7*K7,2),0))</f>
        <v/>
      </c>
      <c r="V7" s="21">
        <f>IF(A7="","",IFERROR(ROUND(O7/N7*M7,2),0))</f>
        <v/>
      </c>
      <c r="W7" s="21">
        <f>IF(A7="","",ROUND(N7-(I7+K7+M7),2))</f>
        <v/>
      </c>
      <c r="X7" s="18">
        <f>IF(A7="","",IF(E7="Client introuvable","Code client introuvable",IF(O7&gt;N7,"Encaissement supérieur au total",IF(AND(C7&lt;B7,C7&lt;&gt;""),"Date d’échéance invalide",IF(MAX(W7,-W7)&gt;0.01,"Écart de calcul à vérifier",IF(AND(R7&lt;&gt;"Payé",C7&lt;'Paramètres'!$B$6,C7&lt;&gt;""),"Échéance dépassée","OK"))))))</f>
        <v/>
      </c>
      <c r="Y7" s="16" t="inlineStr">
        <is>
          <t>Paiement partiel reçu</t>
        </is>
      </c>
    </row>
    <row r="8">
      <c r="A8" s="16" t="inlineStr">
        <is>
          <t>2026-004</t>
        </is>
      </c>
      <c r="B8" s="17" t="n">
        <v>46127</v>
      </c>
      <c r="C8" s="17" t="n">
        <v>46157</v>
      </c>
      <c r="D8" s="16" t="inlineStr">
        <is>
          <t>CLI-004</t>
        </is>
      </c>
      <c r="E8" s="18">
        <f>IF(D8="","",IFERROR(VLOOKUP(D8,'Clients'!$A$4:$J$103,2,FALSE),"Client introuvable"))</f>
        <v/>
      </c>
      <c r="F8" s="16" t="inlineStr">
        <is>
          <t>Révision des procédures de gestion documentaire</t>
        </is>
      </c>
      <c r="G8" s="16" t="inlineStr">
        <is>
          <t>Consultation</t>
        </is>
      </c>
      <c r="H8" s="16" t="inlineStr">
        <is>
          <t>TPS-TVQ</t>
        </is>
      </c>
      <c r="I8" s="19" t="n">
        <v>640</v>
      </c>
      <c r="J8" s="20">
        <f>IF(H8="","",IFERROR(VLOOKUP(H8,'Paramètres'!$A$12:$D$14,3,FALSE),0))</f>
        <v/>
      </c>
      <c r="K8" s="21">
        <f>IF(I8="","",ROUND(I8*J8,2))</f>
        <v/>
      </c>
      <c r="L8" s="20">
        <f>IF(H8="","",IFERROR(VLOOKUP(H8,'Paramètres'!$A$12:$D$14,4,FALSE),0))</f>
        <v/>
      </c>
      <c r="M8" s="21">
        <f>IF(I8="","",ROUND(I8*L8,2))</f>
        <v/>
      </c>
      <c r="N8" s="21">
        <f>IF(I8="","",ROUND(I8+K8+M8,2))</f>
        <v/>
      </c>
      <c r="O8" s="19" t="n">
        <v>735.74</v>
      </c>
      <c r="P8" s="17" t="n">
        <v>46157</v>
      </c>
      <c r="Q8" s="16" t="inlineStr">
        <is>
          <t>Virement bancaire</t>
        </is>
      </c>
      <c r="R8" s="18">
        <f>IF(A8="","",IF(O8&lt;=0,"Non payé",IF(O8&lt;N8,"Partiellement payé",IF(O8&gt;N8,"À vérifier","Payé"))))</f>
        <v/>
      </c>
      <c r="S8" s="21">
        <f>IF(A8="","",ROUND(N8-O8,2))</f>
        <v/>
      </c>
      <c r="T8" s="21">
        <f>IF(A8="","",IFERROR(MIN(I8,ROUND(O8/N8*I8,2)),0))</f>
        <v/>
      </c>
      <c r="U8" s="21">
        <f>IF(A8="","",IFERROR(ROUND(O8/N8*K8,2),0))</f>
        <v/>
      </c>
      <c r="V8" s="21">
        <f>IF(A8="","",IFERROR(ROUND(O8/N8*M8,2),0))</f>
        <v/>
      </c>
      <c r="W8" s="21">
        <f>IF(A8="","",ROUND(N8-(I8+K8+M8),2))</f>
        <v/>
      </c>
      <c r="X8" s="18">
        <f>IF(A8="","",IF(E8="Client introuvable","Code client introuvable",IF(O8&gt;N8,"Encaissement supérieur au total",IF(AND(C8&lt;B8,C8&lt;&gt;""),"Date d’échéance invalide",IF(MAX(W8,-W8)&gt;0.01,"Écart de calcul à vérifier",IF(AND(R8&lt;&gt;"Payé",C8&lt;'Paramètres'!$B$6,C8&lt;&gt;""),"Échéance dépassée","OK"))))))</f>
        <v/>
      </c>
      <c r="Y8" s="16" t="inlineStr">
        <is>
          <t>Payée intégralement</t>
        </is>
      </c>
    </row>
    <row r="9">
      <c r="A9" s="16" t="inlineStr">
        <is>
          <t>2026-005</t>
        </is>
      </c>
      <c r="B9" s="17" t="n">
        <v>46152</v>
      </c>
      <c r="C9" s="17" t="n">
        <v>46182</v>
      </c>
      <c r="D9" s="16" t="inlineStr">
        <is>
          <t>CLI-005</t>
        </is>
      </c>
      <c r="E9" s="18">
        <f>IF(D9="","",IFERROR(VLOOKUP(D9,'Clients'!$A$4:$J$103,2,FALSE),"Client introuvable"))</f>
        <v/>
      </c>
      <c r="F9" s="16" t="inlineStr">
        <is>
          <t>Conception d’un guide d’accueil client</t>
        </is>
      </c>
      <c r="G9" s="16" t="inlineStr">
        <is>
          <t>Conception et design</t>
        </is>
      </c>
      <c r="H9" s="16" t="inlineStr">
        <is>
          <t>TPS-TVQ</t>
        </is>
      </c>
      <c r="I9" s="19" t="n">
        <v>1500</v>
      </c>
      <c r="J9" s="20">
        <f>IF(H9="","",IFERROR(VLOOKUP(H9,'Paramètres'!$A$12:$D$14,3,FALSE),0))</f>
        <v/>
      </c>
      <c r="K9" s="21">
        <f>IF(I9="","",ROUND(I9*J9,2))</f>
        <v/>
      </c>
      <c r="L9" s="20">
        <f>IF(H9="","",IFERROR(VLOOKUP(H9,'Paramètres'!$A$12:$D$14,4,FALSE),0))</f>
        <v/>
      </c>
      <c r="M9" s="21">
        <f>IF(I9="","",ROUND(I9*L9,2))</f>
        <v/>
      </c>
      <c r="N9" s="21">
        <f>IF(I9="","",ROUND(I9+K9+M9,2))</f>
        <v/>
      </c>
      <c r="O9" s="19" t="n">
        <v>0</v>
      </c>
      <c r="P9" s="17" t="n"/>
      <c r="Q9" s="16" t="inlineStr">
        <is>
          <t>Non reçu</t>
        </is>
      </c>
      <c r="R9" s="18">
        <f>IF(A9="","",IF(O9&lt;=0,"Non payé",IF(O9&lt;N9,"Partiellement payé",IF(O9&gt;N9,"À vérifier","Payé"))))</f>
        <v/>
      </c>
      <c r="S9" s="21">
        <f>IF(A9="","",ROUND(N9-O9,2))</f>
        <v/>
      </c>
      <c r="T9" s="21">
        <f>IF(A9="","",IFERROR(MIN(I9,ROUND(O9/N9*I9,2)),0))</f>
        <v/>
      </c>
      <c r="U9" s="21">
        <f>IF(A9="","",IFERROR(ROUND(O9/N9*K9,2),0))</f>
        <v/>
      </c>
      <c r="V9" s="21">
        <f>IF(A9="","",IFERROR(ROUND(O9/N9*M9,2),0))</f>
        <v/>
      </c>
      <c r="W9" s="21">
        <f>IF(A9="","",ROUND(N9-(I9+K9+M9),2))</f>
        <v/>
      </c>
      <c r="X9" s="18">
        <f>IF(A9="","",IF(E9="Client introuvable","Code client introuvable",IF(O9&gt;N9,"Encaissement supérieur au total",IF(AND(C9&lt;B9,C9&lt;&gt;""),"Date d’échéance invalide",IF(MAX(W9,-W9)&gt;0.01,"Écart de calcul à vérifier",IF(AND(R9&lt;&gt;"Payé",C9&lt;'Paramètres'!$B$6,C9&lt;&gt;""),"Échéance dépassée","OK"))))))</f>
        <v/>
      </c>
      <c r="Y9" s="16" t="inlineStr">
        <is>
          <t>En attente de paiement</t>
        </is>
      </c>
    </row>
    <row r="10">
      <c r="A10" s="16" t="inlineStr">
        <is>
          <t>2026-006</t>
        </is>
      </c>
      <c r="B10" s="17" t="n">
        <v>46175</v>
      </c>
      <c r="C10" s="17" t="n">
        <v>46205</v>
      </c>
      <c r="D10" s="16" t="inlineStr">
        <is>
          <t>CLI-006</t>
        </is>
      </c>
      <c r="E10" s="18">
        <f>IF(D10="","",IFERROR(VLOOKUP(D10,'Clients'!$A$4:$J$103,2,FALSE),"Client introuvable"))</f>
        <v/>
      </c>
      <c r="F10" s="16" t="inlineStr">
        <is>
          <t>Animation d’un atelier communautaire</t>
        </is>
      </c>
      <c r="G10" s="16" t="inlineStr">
        <is>
          <t>Formation</t>
        </is>
      </c>
      <c r="H10" s="16" t="inlineStr">
        <is>
          <t>Exonéré</t>
        </is>
      </c>
      <c r="I10" s="19" t="n">
        <v>450</v>
      </c>
      <c r="J10" s="20">
        <f>IF(H10="","",IFERROR(VLOOKUP(H10,'Paramètres'!$A$12:$D$14,3,FALSE),0))</f>
        <v/>
      </c>
      <c r="K10" s="21">
        <f>IF(I10="","",ROUND(I10*J10,2))</f>
        <v/>
      </c>
      <c r="L10" s="20">
        <f>IF(H10="","",IFERROR(VLOOKUP(H10,'Paramètres'!$A$12:$D$14,4,FALSE),0))</f>
        <v/>
      </c>
      <c r="M10" s="21">
        <f>IF(I10="","",ROUND(I10*L10,2))</f>
        <v/>
      </c>
      <c r="N10" s="21">
        <f>IF(I10="","",ROUND(I10+K10+M10,2))</f>
        <v/>
      </c>
      <c r="O10" s="19" t="n">
        <v>450</v>
      </c>
      <c r="P10" s="17" t="n">
        <v>46187</v>
      </c>
      <c r="Q10" s="16" t="inlineStr">
        <is>
          <t>Chèque</t>
        </is>
      </c>
      <c r="R10" s="18">
        <f>IF(A10="","",IF(O10&lt;=0,"Non payé",IF(O10&lt;N10,"Partiellement payé",IF(O10&gt;N10,"À vérifier","Payé"))))</f>
        <v/>
      </c>
      <c r="S10" s="21">
        <f>IF(A10="","",ROUND(N10-O10,2))</f>
        <v/>
      </c>
      <c r="T10" s="21">
        <f>IF(A10="","",IFERROR(MIN(I10,ROUND(O10/N10*I10,2)),0))</f>
        <v/>
      </c>
      <c r="U10" s="21">
        <f>IF(A10="","",IFERROR(ROUND(O10/N10*K10,2),0))</f>
        <v/>
      </c>
      <c r="V10" s="21">
        <f>IF(A10="","",IFERROR(ROUND(O10/N10*M10,2),0))</f>
        <v/>
      </c>
      <c r="W10" s="21">
        <f>IF(A10="","",ROUND(N10-(I10+K10+M10),2))</f>
        <v/>
      </c>
      <c r="X10" s="18">
        <f>IF(A10="","",IF(E10="Client introuvable","Code client introuvable",IF(O10&gt;N10,"Encaissement supérieur au total",IF(AND(C10&lt;B10,C10&lt;&gt;""),"Date d’échéance invalide",IF(MAX(W10,-W10)&gt;0.01,"Écart de calcul à vérifier",IF(AND(R10&lt;&gt;"Payé",C10&lt;'Paramètres'!$B$6,C10&lt;&gt;""),"Échéance dépassée","OK"))))))</f>
        <v/>
      </c>
      <c r="Y10" s="16" t="inlineStr">
        <is>
          <t>Payée intégralement</t>
        </is>
      </c>
    </row>
    <row r="11">
      <c r="A11" s="16" t="inlineStr">
        <is>
          <t>2026-007</t>
        </is>
      </c>
      <c r="B11" s="17" t="n">
        <v>46199</v>
      </c>
      <c r="C11" s="17" t="n">
        <v>46229</v>
      </c>
      <c r="D11" s="16" t="inlineStr">
        <is>
          <t>CLI-007</t>
        </is>
      </c>
      <c r="E11" s="18">
        <f>IF(D11="","",IFERROR(VLOOKUP(D11,'Clients'!$A$4:$J$103,2,FALSE),"Client introuvable"))</f>
        <v/>
      </c>
      <c r="F11" s="16" t="inlineStr">
        <is>
          <t>Mise à jour de fiches produits en ligne</t>
        </is>
      </c>
      <c r="G11" s="16" t="inlineStr">
        <is>
          <t>Rédaction et révision</t>
        </is>
      </c>
      <c r="H11" s="16" t="inlineStr">
        <is>
          <t>TPS-TVQ</t>
        </is>
      </c>
      <c r="I11" s="19" t="n">
        <v>980</v>
      </c>
      <c r="J11" s="20">
        <f>IF(H11="","",IFERROR(VLOOKUP(H11,'Paramètres'!$A$12:$D$14,3,FALSE),0))</f>
        <v/>
      </c>
      <c r="K11" s="21">
        <f>IF(I11="","",ROUND(I11*J11,2))</f>
        <v/>
      </c>
      <c r="L11" s="20">
        <f>IF(H11="","",IFERROR(VLOOKUP(H11,'Paramètres'!$A$12:$D$14,4,FALSE),0))</f>
        <v/>
      </c>
      <c r="M11" s="21">
        <f>IF(I11="","",ROUND(I11*L11,2))</f>
        <v/>
      </c>
      <c r="N11" s="21">
        <f>IF(I11="","",ROUND(I11+K11+M11,2))</f>
        <v/>
      </c>
      <c r="O11" s="19" t="n">
        <v>1126.76</v>
      </c>
      <c r="P11" s="17" t="n">
        <v>46212</v>
      </c>
      <c r="Q11" s="16" t="inlineStr">
        <is>
          <t>Carte de crédit</t>
        </is>
      </c>
      <c r="R11" s="18">
        <f>IF(A11="","",IF(O11&lt;=0,"Non payé",IF(O11&lt;N11,"Partiellement payé",IF(O11&gt;N11,"À vérifier","Payé"))))</f>
        <v/>
      </c>
      <c r="S11" s="21">
        <f>IF(A11="","",ROUND(N11-O11,2))</f>
        <v/>
      </c>
      <c r="T11" s="21">
        <f>IF(A11="","",IFERROR(MIN(I11,ROUND(O11/N11*I11,2)),0))</f>
        <v/>
      </c>
      <c r="U11" s="21">
        <f>IF(A11="","",IFERROR(ROUND(O11/N11*K11,2),0))</f>
        <v/>
      </c>
      <c r="V11" s="21">
        <f>IF(A11="","",IFERROR(ROUND(O11/N11*M11,2),0))</f>
        <v/>
      </c>
      <c r="W11" s="21">
        <f>IF(A11="","",ROUND(N11-(I11+K11+M11),2))</f>
        <v/>
      </c>
      <c r="X11" s="18">
        <f>IF(A11="","",IF(E11="Client introuvable","Code client introuvable",IF(O11&gt;N11,"Encaissement supérieur au total",IF(AND(C11&lt;B11,C11&lt;&gt;""),"Date d’échéance invalide",IF(MAX(W11,-W11)&gt;0.01,"Écart de calcul à vérifier",IF(AND(R11&lt;&gt;"Payé",C11&lt;'Paramètres'!$B$6,C11&lt;&gt;""),"Échéance dépassée","OK"))))))</f>
        <v/>
      </c>
      <c r="Y11" s="16" t="inlineStr">
        <is>
          <t>Payée intégralement</t>
        </is>
      </c>
    </row>
    <row r="12">
      <c r="A12" s="16" t="inlineStr">
        <is>
          <t>2026-008</t>
        </is>
      </c>
      <c r="B12" s="17" t="n">
        <v>46225</v>
      </c>
      <c r="C12" s="17" t="n">
        <v>46255</v>
      </c>
      <c r="D12" s="16" t="inlineStr">
        <is>
          <t>CLI-008</t>
        </is>
      </c>
      <c r="E12" s="18">
        <f>IF(D12="","",IFERROR(VLOOKUP(D12,'Clients'!$A$4:$J$103,2,FALSE),"Client introuvable"))</f>
        <v/>
      </c>
      <c r="F12" s="16" t="inlineStr">
        <is>
          <t>Soutien technique et configuration de rapports</t>
        </is>
      </c>
      <c r="G12" s="16" t="inlineStr">
        <is>
          <t>Soutien technique</t>
        </is>
      </c>
      <c r="H12" s="16" t="inlineStr">
        <is>
          <t>TPS-TVQ</t>
        </is>
      </c>
      <c r="I12" s="19" t="n">
        <v>1800</v>
      </c>
      <c r="J12" s="20">
        <f>IF(H12="","",IFERROR(VLOOKUP(H12,'Paramètres'!$A$12:$D$14,3,FALSE),0))</f>
        <v/>
      </c>
      <c r="K12" s="21">
        <f>IF(I12="","",ROUND(I12*J12,2))</f>
        <v/>
      </c>
      <c r="L12" s="20">
        <f>IF(H12="","",IFERROR(VLOOKUP(H12,'Paramètres'!$A$12:$D$14,4,FALSE),0))</f>
        <v/>
      </c>
      <c r="M12" s="21">
        <f>IF(I12="","",ROUND(I12*L12,2))</f>
        <v/>
      </c>
      <c r="N12" s="21">
        <f>IF(I12="","",ROUND(I12+K12+M12,2))</f>
        <v/>
      </c>
      <c r="O12" s="19" t="n">
        <v>2072.25</v>
      </c>
      <c r="P12" s="17" t="n">
        <v>46239</v>
      </c>
      <c r="Q12" s="16" t="inlineStr">
        <is>
          <t>Virement bancaire</t>
        </is>
      </c>
      <c r="R12" s="18">
        <f>IF(A12="","",IF(O12&lt;=0,"Non payé",IF(O12&lt;N12,"Partiellement payé",IF(O12&gt;N12,"À vérifier","Payé"))))</f>
        <v/>
      </c>
      <c r="S12" s="21">
        <f>IF(A12="","",ROUND(N12-O12,2))</f>
        <v/>
      </c>
      <c r="T12" s="21">
        <f>IF(A12="","",IFERROR(MIN(I12,ROUND(O12/N12*I12,2)),0))</f>
        <v/>
      </c>
      <c r="U12" s="21">
        <f>IF(A12="","",IFERROR(ROUND(O12/N12*K12,2),0))</f>
        <v/>
      </c>
      <c r="V12" s="21">
        <f>IF(A12="","",IFERROR(ROUND(O12/N12*M12,2),0))</f>
        <v/>
      </c>
      <c r="W12" s="21">
        <f>IF(A12="","",ROUND(N12-(I12+K12+M12),2))</f>
        <v/>
      </c>
      <c r="X12" s="18">
        <f>IF(A12="","",IF(E12="Client introuvable","Code client introuvable",IF(O12&gt;N12,"Encaissement supérieur au total",IF(AND(C12&lt;B12,C12&lt;&gt;""),"Date d’échéance invalide",IF(MAX(W12,-W12)&gt;0.01,"Écart de calcul à vérifier",IF(AND(R12&lt;&gt;"Payé",C12&lt;'Paramètres'!$B$6,C12&lt;&gt;""),"Échéance dépassée","OK"))))))</f>
        <v/>
      </c>
      <c r="Y12" s="16" t="inlineStr">
        <is>
          <t>Payée intégralement</t>
        </is>
      </c>
    </row>
    <row r="13">
      <c r="A13" s="16" t="inlineStr">
        <is>
          <t>2026-009</t>
        </is>
      </c>
      <c r="B13" s="17" t="n">
        <v>46249</v>
      </c>
      <c r="C13" s="17" t="n">
        <v>46279</v>
      </c>
      <c r="D13" s="16" t="inlineStr">
        <is>
          <t>CLI-001</t>
        </is>
      </c>
      <c r="E13" s="18">
        <f>IF(D13="","",IFERROR(VLOOKUP(D13,'Clients'!$A$4:$J$103,2,FALSE),"Client introuvable"))</f>
        <v/>
      </c>
      <c r="F13" s="16" t="inlineStr">
        <is>
          <t>Rencontre de planification trimestrielle</t>
        </is>
      </c>
      <c r="G13" s="16" t="inlineStr">
        <is>
          <t>Consultation</t>
        </is>
      </c>
      <c r="H13" s="16" t="inlineStr">
        <is>
          <t>TPS-TVQ</t>
        </is>
      </c>
      <c r="I13" s="19" t="n">
        <v>325</v>
      </c>
      <c r="J13" s="20">
        <f>IF(H13="","",IFERROR(VLOOKUP(H13,'Paramètres'!$A$12:$D$14,3,FALSE),0))</f>
        <v/>
      </c>
      <c r="K13" s="21">
        <f>IF(I13="","",ROUND(I13*J13,2))</f>
        <v/>
      </c>
      <c r="L13" s="20">
        <f>IF(H13="","",IFERROR(VLOOKUP(H13,'Paramètres'!$A$12:$D$14,4,FALSE),0))</f>
        <v/>
      </c>
      <c r="M13" s="21">
        <f>IF(I13="","",ROUND(I13*L13,2))</f>
        <v/>
      </c>
      <c r="N13" s="21">
        <f>IF(I13="","",ROUND(I13+K13+M13,2))</f>
        <v/>
      </c>
      <c r="O13" s="19" t="n">
        <v>373.67</v>
      </c>
      <c r="P13" s="17" t="n">
        <v>46259</v>
      </c>
      <c r="Q13" s="16" t="inlineStr">
        <is>
          <t>Virement bancaire</t>
        </is>
      </c>
      <c r="R13" s="18">
        <f>IF(A13="","",IF(O13&lt;=0,"Non payé",IF(O13&lt;N13,"Partiellement payé",IF(O13&gt;N13,"À vérifier","Payé"))))</f>
        <v/>
      </c>
      <c r="S13" s="21">
        <f>IF(A13="","",ROUND(N13-O13,2))</f>
        <v/>
      </c>
      <c r="T13" s="21">
        <f>IF(A13="","",IFERROR(MIN(I13,ROUND(O13/N13*I13,2)),0))</f>
        <v/>
      </c>
      <c r="U13" s="21">
        <f>IF(A13="","",IFERROR(ROUND(O13/N13*K13,2),0))</f>
        <v/>
      </c>
      <c r="V13" s="21">
        <f>IF(A13="","",IFERROR(ROUND(O13/N13*M13,2),0))</f>
        <v/>
      </c>
      <c r="W13" s="21">
        <f>IF(A13="","",ROUND(N13-(I13+K13+M13),2))</f>
        <v/>
      </c>
      <c r="X13" s="18">
        <f>IF(A13="","",IF(E13="Client introuvable","Code client introuvable",IF(O13&gt;N13,"Encaissement supérieur au total",IF(AND(C13&lt;B13,C13&lt;&gt;""),"Date d’échéance invalide",IF(MAX(W13,-W13)&gt;0.01,"Écart de calcul à vérifier",IF(AND(R13&lt;&gt;"Payé",C13&lt;'Paramètres'!$B$6,C13&lt;&gt;""),"Échéance dépassée","OK"))))))</f>
        <v/>
      </c>
      <c r="Y13" s="16" t="inlineStr">
        <is>
          <t>Payée intégralement</t>
        </is>
      </c>
    </row>
    <row r="14">
      <c r="A14" s="16" t="inlineStr">
        <is>
          <t>2026-010</t>
        </is>
      </c>
      <c r="B14" s="17" t="n">
        <v>46262</v>
      </c>
      <c r="C14" s="17" t="n">
        <v>46292</v>
      </c>
      <c r="D14" s="16" t="inlineStr">
        <is>
          <t>CLI-005</t>
        </is>
      </c>
      <c r="E14" s="18">
        <f>IF(D14="","",IFERROR(VLOOKUP(D14,'Clients'!$A$4:$J$103,2,FALSE),"Client introuvable"))</f>
        <v/>
      </c>
      <c r="F14" s="16" t="inlineStr">
        <is>
          <t>Rédaction de contenu pour le site Web</t>
        </is>
      </c>
      <c r="G14" s="16" t="inlineStr">
        <is>
          <t>Rédaction et révision</t>
        </is>
      </c>
      <c r="H14" s="16" t="inlineStr">
        <is>
          <t>TPS-TVQ</t>
        </is>
      </c>
      <c r="I14" s="19" t="n">
        <v>2100</v>
      </c>
      <c r="J14" s="20">
        <f>IF(H14="","",IFERROR(VLOOKUP(H14,'Paramètres'!$A$12:$D$14,3,FALSE),0))</f>
        <v/>
      </c>
      <c r="K14" s="21">
        <f>IF(I14="","",ROUND(I14*J14,2))</f>
        <v/>
      </c>
      <c r="L14" s="20">
        <f>IF(H14="","",IFERROR(VLOOKUP(H14,'Paramètres'!$A$12:$D$14,4,FALSE),0))</f>
        <v/>
      </c>
      <c r="M14" s="21">
        <f>IF(I14="","",ROUND(I14*L14,2))</f>
        <v/>
      </c>
      <c r="N14" s="21">
        <f>IF(I14="","",ROUND(I14+K14+M14,2))</f>
        <v/>
      </c>
      <c r="O14" s="19" t="n">
        <v>0</v>
      </c>
      <c r="P14" s="17" t="n"/>
      <c r="Q14" s="16" t="inlineStr">
        <is>
          <t>Non reçu</t>
        </is>
      </c>
      <c r="R14" s="18">
        <f>IF(A14="","",IF(O14&lt;=0,"Non payé",IF(O14&lt;N14,"Partiellement payé",IF(O14&gt;N14,"À vérifier","Payé"))))</f>
        <v/>
      </c>
      <c r="S14" s="21">
        <f>IF(A14="","",ROUND(N14-O14,2))</f>
        <v/>
      </c>
      <c r="T14" s="21">
        <f>IF(A14="","",IFERROR(MIN(I14,ROUND(O14/N14*I14,2)),0))</f>
        <v/>
      </c>
      <c r="U14" s="21">
        <f>IF(A14="","",IFERROR(ROUND(O14/N14*K14,2),0))</f>
        <v/>
      </c>
      <c r="V14" s="21">
        <f>IF(A14="","",IFERROR(ROUND(O14/N14*M14,2),0))</f>
        <v/>
      </c>
      <c r="W14" s="21">
        <f>IF(A14="","",ROUND(N14-(I14+K14+M14),2))</f>
        <v/>
      </c>
      <c r="X14" s="18">
        <f>IF(A14="","",IF(E14="Client introuvable","Code client introuvable",IF(O14&gt;N14,"Encaissement supérieur au total",IF(AND(C14&lt;B14,C14&lt;&gt;""),"Date d’échéance invalide",IF(MAX(W14,-W14)&gt;0.01,"Écart de calcul à vérifier",IF(AND(R14&lt;&gt;"Payé",C14&lt;'Paramètres'!$B$6,C14&lt;&gt;""),"Échéance dépassée","OK"))))))</f>
        <v/>
      </c>
      <c r="Y14" s="16" t="inlineStr">
        <is>
          <t>Facture récente</t>
        </is>
      </c>
    </row>
    <row r="15">
      <c r="A15" s="16" t="n"/>
      <c r="B15" s="17" t="n"/>
      <c r="C15" s="17" t="n"/>
      <c r="D15" s="16" t="n"/>
      <c r="E15" s="18">
        <f>IF(D15="","",IFERROR(VLOOKUP(D15,'Clients'!$A$4:$J$103,2,FALSE),"Client introuvable"))</f>
        <v/>
      </c>
      <c r="F15" s="16" t="n"/>
      <c r="G15" s="16" t="n"/>
      <c r="H15" s="16" t="n"/>
      <c r="I15" s="19" t="n"/>
      <c r="J15" s="20">
        <f>IF(H15="","",IFERROR(VLOOKUP(H15,'Paramètres'!$A$12:$D$14,3,FALSE),0))</f>
        <v/>
      </c>
      <c r="K15" s="21">
        <f>IF(I15="","",ROUND(I15*J15,2))</f>
        <v/>
      </c>
      <c r="L15" s="20">
        <f>IF(H15="","",IFERROR(VLOOKUP(H15,'Paramètres'!$A$12:$D$14,4,FALSE),0))</f>
        <v/>
      </c>
      <c r="M15" s="21">
        <f>IF(I15="","",ROUND(I15*L15,2))</f>
        <v/>
      </c>
      <c r="N15" s="21">
        <f>IF(I15="","",ROUND(I15+K15+M15,2))</f>
        <v/>
      </c>
      <c r="O15" s="19" t="n"/>
      <c r="P15" s="17" t="n"/>
      <c r="Q15" s="16" t="n"/>
      <c r="R15" s="18">
        <f>IF(A15="","",IF(O15&lt;=0,"Non payé",IF(O15&lt;N15,"Partiellement payé",IF(O15&gt;N15,"À vérifier","Payé"))))</f>
        <v/>
      </c>
      <c r="S15" s="21">
        <f>IF(A15="","",ROUND(N15-O15,2))</f>
        <v/>
      </c>
      <c r="T15" s="21">
        <f>IF(A15="","",IFERROR(MIN(I15,ROUND(O15/N15*I15,2)),0))</f>
        <v/>
      </c>
      <c r="U15" s="21">
        <f>IF(A15="","",IFERROR(ROUND(O15/N15*K15,2),0))</f>
        <v/>
      </c>
      <c r="V15" s="21">
        <f>IF(A15="","",IFERROR(ROUND(O15/N15*M15,2),0))</f>
        <v/>
      </c>
      <c r="W15" s="21">
        <f>IF(A15="","",ROUND(N15-(I15+K15+M15),2))</f>
        <v/>
      </c>
      <c r="X15" s="18">
        <f>IF(A15="","",IF(E15="Client introuvable","Code client introuvable",IF(O15&gt;N15,"Encaissement supérieur au total",IF(AND(C15&lt;B15,C15&lt;&gt;""),"Date d’échéance invalide",IF(MAX(W15,-W15)&gt;0.01,"Écart de calcul à vérifier",IF(AND(R15&lt;&gt;"Payé",C15&lt;'Paramètres'!$B$6,C15&lt;&gt;""),"Échéance dépassée","OK"))))))</f>
        <v/>
      </c>
      <c r="Y15" s="16" t="n"/>
    </row>
    <row r="16">
      <c r="A16" s="16" t="n"/>
      <c r="B16" s="17" t="n"/>
      <c r="C16" s="17" t="n"/>
      <c r="D16" s="16" t="n"/>
      <c r="E16" s="18">
        <f>IF(D16="","",IFERROR(VLOOKUP(D16,'Clients'!$A$4:$J$103,2,FALSE),"Client introuvable"))</f>
        <v/>
      </c>
      <c r="F16" s="16" t="n"/>
      <c r="G16" s="16" t="n"/>
      <c r="H16" s="16" t="n"/>
      <c r="I16" s="19" t="n"/>
      <c r="J16" s="20">
        <f>IF(H16="","",IFERROR(VLOOKUP(H16,'Paramètres'!$A$12:$D$14,3,FALSE),0))</f>
        <v/>
      </c>
      <c r="K16" s="21">
        <f>IF(I16="","",ROUND(I16*J16,2))</f>
        <v/>
      </c>
      <c r="L16" s="20">
        <f>IF(H16="","",IFERROR(VLOOKUP(H16,'Paramètres'!$A$12:$D$14,4,FALSE),0))</f>
        <v/>
      </c>
      <c r="M16" s="21">
        <f>IF(I16="","",ROUND(I16*L16,2))</f>
        <v/>
      </c>
      <c r="N16" s="21">
        <f>IF(I16="","",ROUND(I16+K16+M16,2))</f>
        <v/>
      </c>
      <c r="O16" s="19" t="n"/>
      <c r="P16" s="17" t="n"/>
      <c r="Q16" s="16" t="n"/>
      <c r="R16" s="18">
        <f>IF(A16="","",IF(O16&lt;=0,"Non payé",IF(O16&lt;N16,"Partiellement payé",IF(O16&gt;N16,"À vérifier","Payé"))))</f>
        <v/>
      </c>
      <c r="S16" s="21">
        <f>IF(A16="","",ROUND(N16-O16,2))</f>
        <v/>
      </c>
      <c r="T16" s="21">
        <f>IF(A16="","",IFERROR(MIN(I16,ROUND(O16/N16*I16,2)),0))</f>
        <v/>
      </c>
      <c r="U16" s="21">
        <f>IF(A16="","",IFERROR(ROUND(O16/N16*K16,2),0))</f>
        <v/>
      </c>
      <c r="V16" s="21">
        <f>IF(A16="","",IFERROR(ROUND(O16/N16*M16,2),0))</f>
        <v/>
      </c>
      <c r="W16" s="21">
        <f>IF(A16="","",ROUND(N16-(I16+K16+M16),2))</f>
        <v/>
      </c>
      <c r="X16" s="18">
        <f>IF(A16="","",IF(E16="Client introuvable","Code client introuvable",IF(O16&gt;N16,"Encaissement supérieur au total",IF(AND(C16&lt;B16,C16&lt;&gt;""),"Date d’échéance invalide",IF(MAX(W16,-W16)&gt;0.01,"Écart de calcul à vérifier",IF(AND(R16&lt;&gt;"Payé",C16&lt;'Paramètres'!$B$6,C16&lt;&gt;""),"Échéance dépassée","OK"))))))</f>
        <v/>
      </c>
      <c r="Y16" s="16" t="n"/>
    </row>
    <row r="17">
      <c r="A17" s="16" t="n"/>
      <c r="B17" s="17" t="n"/>
      <c r="C17" s="17" t="n"/>
      <c r="D17" s="16" t="n"/>
      <c r="E17" s="18">
        <f>IF(D17="","",IFERROR(VLOOKUP(D17,'Clients'!$A$4:$J$103,2,FALSE),"Client introuvable"))</f>
        <v/>
      </c>
      <c r="F17" s="16" t="n"/>
      <c r="G17" s="16" t="n"/>
      <c r="H17" s="16" t="n"/>
      <c r="I17" s="19" t="n"/>
      <c r="J17" s="20">
        <f>IF(H17="","",IFERROR(VLOOKUP(H17,'Paramètres'!$A$12:$D$14,3,FALSE),0))</f>
        <v/>
      </c>
      <c r="K17" s="21">
        <f>IF(I17="","",ROUND(I17*J17,2))</f>
        <v/>
      </c>
      <c r="L17" s="20">
        <f>IF(H17="","",IFERROR(VLOOKUP(H17,'Paramètres'!$A$12:$D$14,4,FALSE),0))</f>
        <v/>
      </c>
      <c r="M17" s="21">
        <f>IF(I17="","",ROUND(I17*L17,2))</f>
        <v/>
      </c>
      <c r="N17" s="21">
        <f>IF(I17="","",ROUND(I17+K17+M17,2))</f>
        <v/>
      </c>
      <c r="O17" s="19" t="n"/>
      <c r="P17" s="17" t="n"/>
      <c r="Q17" s="16" t="n"/>
      <c r="R17" s="18">
        <f>IF(A17="","",IF(O17&lt;=0,"Non payé",IF(O17&lt;N17,"Partiellement payé",IF(O17&gt;N17,"À vérifier","Payé"))))</f>
        <v/>
      </c>
      <c r="S17" s="21">
        <f>IF(A17="","",ROUND(N17-O17,2))</f>
        <v/>
      </c>
      <c r="T17" s="21">
        <f>IF(A17="","",IFERROR(MIN(I17,ROUND(O17/N17*I17,2)),0))</f>
        <v/>
      </c>
      <c r="U17" s="21">
        <f>IF(A17="","",IFERROR(ROUND(O17/N17*K17,2),0))</f>
        <v/>
      </c>
      <c r="V17" s="21">
        <f>IF(A17="","",IFERROR(ROUND(O17/N17*M17,2),0))</f>
        <v/>
      </c>
      <c r="W17" s="21">
        <f>IF(A17="","",ROUND(N17-(I17+K17+M17),2))</f>
        <v/>
      </c>
      <c r="X17" s="18">
        <f>IF(A17="","",IF(E17="Client introuvable","Code client introuvable",IF(O17&gt;N17,"Encaissement supérieur au total",IF(AND(C17&lt;B17,C17&lt;&gt;""),"Date d’échéance invalide",IF(MAX(W17,-W17)&gt;0.01,"Écart de calcul à vérifier",IF(AND(R17&lt;&gt;"Payé",C17&lt;'Paramètres'!$B$6,C17&lt;&gt;""),"Échéance dépassée","OK"))))))</f>
        <v/>
      </c>
      <c r="Y17" s="16" t="n"/>
    </row>
    <row r="18">
      <c r="A18" s="16" t="n"/>
      <c r="B18" s="17" t="n"/>
      <c r="C18" s="17" t="n"/>
      <c r="D18" s="16" t="n"/>
      <c r="E18" s="18">
        <f>IF(D18="","",IFERROR(VLOOKUP(D18,'Clients'!$A$4:$J$103,2,FALSE),"Client introuvable"))</f>
        <v/>
      </c>
      <c r="F18" s="16" t="n"/>
      <c r="G18" s="16" t="n"/>
      <c r="H18" s="16" t="n"/>
      <c r="I18" s="19" t="n"/>
      <c r="J18" s="20">
        <f>IF(H18="","",IFERROR(VLOOKUP(H18,'Paramètres'!$A$12:$D$14,3,FALSE),0))</f>
        <v/>
      </c>
      <c r="K18" s="21">
        <f>IF(I18="","",ROUND(I18*J18,2))</f>
        <v/>
      </c>
      <c r="L18" s="20">
        <f>IF(H18="","",IFERROR(VLOOKUP(H18,'Paramètres'!$A$12:$D$14,4,FALSE),0))</f>
        <v/>
      </c>
      <c r="M18" s="21">
        <f>IF(I18="","",ROUND(I18*L18,2))</f>
        <v/>
      </c>
      <c r="N18" s="21">
        <f>IF(I18="","",ROUND(I18+K18+M18,2))</f>
        <v/>
      </c>
      <c r="O18" s="19" t="n"/>
      <c r="P18" s="17" t="n"/>
      <c r="Q18" s="16" t="n"/>
      <c r="R18" s="18">
        <f>IF(A18="","",IF(O18&lt;=0,"Non payé",IF(O18&lt;N18,"Partiellement payé",IF(O18&gt;N18,"À vérifier","Payé"))))</f>
        <v/>
      </c>
      <c r="S18" s="21">
        <f>IF(A18="","",ROUND(N18-O18,2))</f>
        <v/>
      </c>
      <c r="T18" s="21">
        <f>IF(A18="","",IFERROR(MIN(I18,ROUND(O18/N18*I18,2)),0))</f>
        <v/>
      </c>
      <c r="U18" s="21">
        <f>IF(A18="","",IFERROR(ROUND(O18/N18*K18,2),0))</f>
        <v/>
      </c>
      <c r="V18" s="21">
        <f>IF(A18="","",IFERROR(ROUND(O18/N18*M18,2),0))</f>
        <v/>
      </c>
      <c r="W18" s="21">
        <f>IF(A18="","",ROUND(N18-(I18+K18+M18),2))</f>
        <v/>
      </c>
      <c r="X18" s="18">
        <f>IF(A18="","",IF(E18="Client introuvable","Code client introuvable",IF(O18&gt;N18,"Encaissement supérieur au total",IF(AND(C18&lt;B18,C18&lt;&gt;""),"Date d’échéance invalide",IF(MAX(W18,-W18)&gt;0.01,"Écart de calcul à vérifier",IF(AND(R18&lt;&gt;"Payé",C18&lt;'Paramètres'!$B$6,C18&lt;&gt;""),"Échéance dépassée","OK"))))))</f>
        <v/>
      </c>
      <c r="Y18" s="16" t="n"/>
    </row>
    <row r="19">
      <c r="A19" s="16" t="n"/>
      <c r="B19" s="17" t="n"/>
      <c r="C19" s="17" t="n"/>
      <c r="D19" s="16" t="n"/>
      <c r="E19" s="18">
        <f>IF(D19="","",IFERROR(VLOOKUP(D19,'Clients'!$A$4:$J$103,2,FALSE),"Client introuvable"))</f>
        <v/>
      </c>
      <c r="F19" s="16" t="n"/>
      <c r="G19" s="16" t="n"/>
      <c r="H19" s="16" t="n"/>
      <c r="I19" s="19" t="n"/>
      <c r="J19" s="20">
        <f>IF(H19="","",IFERROR(VLOOKUP(H19,'Paramètres'!$A$12:$D$14,3,FALSE),0))</f>
        <v/>
      </c>
      <c r="K19" s="21">
        <f>IF(I19="","",ROUND(I19*J19,2))</f>
        <v/>
      </c>
      <c r="L19" s="20">
        <f>IF(H19="","",IFERROR(VLOOKUP(H19,'Paramètres'!$A$12:$D$14,4,FALSE),0))</f>
        <v/>
      </c>
      <c r="M19" s="21">
        <f>IF(I19="","",ROUND(I19*L19,2))</f>
        <v/>
      </c>
      <c r="N19" s="21">
        <f>IF(I19="","",ROUND(I19+K19+M19,2))</f>
        <v/>
      </c>
      <c r="O19" s="19" t="n"/>
      <c r="P19" s="17" t="n"/>
      <c r="Q19" s="16" t="n"/>
      <c r="R19" s="18">
        <f>IF(A19="","",IF(O19&lt;=0,"Non payé",IF(O19&lt;N19,"Partiellement payé",IF(O19&gt;N19,"À vérifier","Payé"))))</f>
        <v/>
      </c>
      <c r="S19" s="21">
        <f>IF(A19="","",ROUND(N19-O19,2))</f>
        <v/>
      </c>
      <c r="T19" s="21">
        <f>IF(A19="","",IFERROR(MIN(I19,ROUND(O19/N19*I19,2)),0))</f>
        <v/>
      </c>
      <c r="U19" s="21">
        <f>IF(A19="","",IFERROR(ROUND(O19/N19*K19,2),0))</f>
        <v/>
      </c>
      <c r="V19" s="21">
        <f>IF(A19="","",IFERROR(ROUND(O19/N19*M19,2),0))</f>
        <v/>
      </c>
      <c r="W19" s="21">
        <f>IF(A19="","",ROUND(N19-(I19+K19+M19),2))</f>
        <v/>
      </c>
      <c r="X19" s="18">
        <f>IF(A19="","",IF(E19="Client introuvable","Code client introuvable",IF(O19&gt;N19,"Encaissement supérieur au total",IF(AND(C19&lt;B19,C19&lt;&gt;""),"Date d’échéance invalide",IF(MAX(W19,-W19)&gt;0.01,"Écart de calcul à vérifier",IF(AND(R19&lt;&gt;"Payé",C19&lt;'Paramètres'!$B$6,C19&lt;&gt;""),"Échéance dépassée","OK"))))))</f>
        <v/>
      </c>
      <c r="Y19" s="16" t="n"/>
    </row>
    <row r="20">
      <c r="A20" s="16" t="n"/>
      <c r="B20" s="17" t="n"/>
      <c r="C20" s="17" t="n"/>
      <c r="D20" s="16" t="n"/>
      <c r="E20" s="18">
        <f>IF(D20="","",IFERROR(VLOOKUP(D20,'Clients'!$A$4:$J$103,2,FALSE),"Client introuvable"))</f>
        <v/>
      </c>
      <c r="F20" s="16" t="n"/>
      <c r="G20" s="16" t="n"/>
      <c r="H20" s="16" t="n"/>
      <c r="I20" s="19" t="n"/>
      <c r="J20" s="20">
        <f>IF(H20="","",IFERROR(VLOOKUP(H20,'Paramètres'!$A$12:$D$14,3,FALSE),0))</f>
        <v/>
      </c>
      <c r="K20" s="21">
        <f>IF(I20="","",ROUND(I20*J20,2))</f>
        <v/>
      </c>
      <c r="L20" s="20">
        <f>IF(H20="","",IFERROR(VLOOKUP(H20,'Paramètres'!$A$12:$D$14,4,FALSE),0))</f>
        <v/>
      </c>
      <c r="M20" s="21">
        <f>IF(I20="","",ROUND(I20*L20,2))</f>
        <v/>
      </c>
      <c r="N20" s="21">
        <f>IF(I20="","",ROUND(I20+K20+M20,2))</f>
        <v/>
      </c>
      <c r="O20" s="19" t="n"/>
      <c r="P20" s="17" t="n"/>
      <c r="Q20" s="16" t="n"/>
      <c r="R20" s="18">
        <f>IF(A20="","",IF(O20&lt;=0,"Non payé",IF(O20&lt;N20,"Partiellement payé",IF(O20&gt;N20,"À vérifier","Payé"))))</f>
        <v/>
      </c>
      <c r="S20" s="21">
        <f>IF(A20="","",ROUND(N20-O20,2))</f>
        <v/>
      </c>
      <c r="T20" s="21">
        <f>IF(A20="","",IFERROR(MIN(I20,ROUND(O20/N20*I20,2)),0))</f>
        <v/>
      </c>
      <c r="U20" s="21">
        <f>IF(A20="","",IFERROR(ROUND(O20/N20*K20,2),0))</f>
        <v/>
      </c>
      <c r="V20" s="21">
        <f>IF(A20="","",IFERROR(ROUND(O20/N20*M20,2),0))</f>
        <v/>
      </c>
      <c r="W20" s="21">
        <f>IF(A20="","",ROUND(N20-(I20+K20+M20),2))</f>
        <v/>
      </c>
      <c r="X20" s="18">
        <f>IF(A20="","",IF(E20="Client introuvable","Code client introuvable",IF(O20&gt;N20,"Encaissement supérieur au total",IF(AND(C20&lt;B20,C20&lt;&gt;""),"Date d’échéance invalide",IF(MAX(W20,-W20)&gt;0.01,"Écart de calcul à vérifier",IF(AND(R20&lt;&gt;"Payé",C20&lt;'Paramètres'!$B$6,C20&lt;&gt;""),"Échéance dépassée","OK"))))))</f>
        <v/>
      </c>
      <c r="Y20" s="16" t="n"/>
    </row>
    <row r="21">
      <c r="A21" s="16" t="n"/>
      <c r="B21" s="17" t="n"/>
      <c r="C21" s="17" t="n"/>
      <c r="D21" s="16" t="n"/>
      <c r="E21" s="18">
        <f>IF(D21="","",IFERROR(VLOOKUP(D21,'Clients'!$A$4:$J$103,2,FALSE),"Client introuvable"))</f>
        <v/>
      </c>
      <c r="F21" s="16" t="n"/>
      <c r="G21" s="16" t="n"/>
      <c r="H21" s="16" t="n"/>
      <c r="I21" s="19" t="n"/>
      <c r="J21" s="20">
        <f>IF(H21="","",IFERROR(VLOOKUP(H21,'Paramètres'!$A$12:$D$14,3,FALSE),0))</f>
        <v/>
      </c>
      <c r="K21" s="21">
        <f>IF(I21="","",ROUND(I21*J21,2))</f>
        <v/>
      </c>
      <c r="L21" s="20">
        <f>IF(H21="","",IFERROR(VLOOKUP(H21,'Paramètres'!$A$12:$D$14,4,FALSE),0))</f>
        <v/>
      </c>
      <c r="M21" s="21">
        <f>IF(I21="","",ROUND(I21*L21,2))</f>
        <v/>
      </c>
      <c r="N21" s="21">
        <f>IF(I21="","",ROUND(I21+K21+M21,2))</f>
        <v/>
      </c>
      <c r="O21" s="19" t="n"/>
      <c r="P21" s="17" t="n"/>
      <c r="Q21" s="16" t="n"/>
      <c r="R21" s="18">
        <f>IF(A21="","",IF(O21&lt;=0,"Non payé",IF(O21&lt;N21,"Partiellement payé",IF(O21&gt;N21,"À vérifier","Payé"))))</f>
        <v/>
      </c>
      <c r="S21" s="21">
        <f>IF(A21="","",ROUND(N21-O21,2))</f>
        <v/>
      </c>
      <c r="T21" s="21">
        <f>IF(A21="","",IFERROR(MIN(I21,ROUND(O21/N21*I21,2)),0))</f>
        <v/>
      </c>
      <c r="U21" s="21">
        <f>IF(A21="","",IFERROR(ROUND(O21/N21*K21,2),0))</f>
        <v/>
      </c>
      <c r="V21" s="21">
        <f>IF(A21="","",IFERROR(ROUND(O21/N21*M21,2),0))</f>
        <v/>
      </c>
      <c r="W21" s="21">
        <f>IF(A21="","",ROUND(N21-(I21+K21+M21),2))</f>
        <v/>
      </c>
      <c r="X21" s="18">
        <f>IF(A21="","",IF(E21="Client introuvable","Code client introuvable",IF(O21&gt;N21,"Encaissement supérieur au total",IF(AND(C21&lt;B21,C21&lt;&gt;""),"Date d’échéance invalide",IF(MAX(W21,-W21)&gt;0.01,"Écart de calcul à vérifier",IF(AND(R21&lt;&gt;"Payé",C21&lt;'Paramètres'!$B$6,C21&lt;&gt;""),"Échéance dépassée","OK"))))))</f>
        <v/>
      </c>
      <c r="Y21" s="16" t="n"/>
    </row>
    <row r="22">
      <c r="A22" s="16" t="n"/>
      <c r="B22" s="17" t="n"/>
      <c r="C22" s="17" t="n"/>
      <c r="D22" s="16" t="n"/>
      <c r="E22" s="18">
        <f>IF(D22="","",IFERROR(VLOOKUP(D22,'Clients'!$A$4:$J$103,2,FALSE),"Client introuvable"))</f>
        <v/>
      </c>
      <c r="F22" s="16" t="n"/>
      <c r="G22" s="16" t="n"/>
      <c r="H22" s="16" t="n"/>
      <c r="I22" s="19" t="n"/>
      <c r="J22" s="20">
        <f>IF(H22="","",IFERROR(VLOOKUP(H22,'Paramètres'!$A$12:$D$14,3,FALSE),0))</f>
        <v/>
      </c>
      <c r="K22" s="21">
        <f>IF(I22="","",ROUND(I22*J22,2))</f>
        <v/>
      </c>
      <c r="L22" s="20">
        <f>IF(H22="","",IFERROR(VLOOKUP(H22,'Paramètres'!$A$12:$D$14,4,FALSE),0))</f>
        <v/>
      </c>
      <c r="M22" s="21">
        <f>IF(I22="","",ROUND(I22*L22,2))</f>
        <v/>
      </c>
      <c r="N22" s="21">
        <f>IF(I22="","",ROUND(I22+K22+M22,2))</f>
        <v/>
      </c>
      <c r="O22" s="19" t="n"/>
      <c r="P22" s="17" t="n"/>
      <c r="Q22" s="16" t="n"/>
      <c r="R22" s="18">
        <f>IF(A22="","",IF(O22&lt;=0,"Non payé",IF(O22&lt;N22,"Partiellement payé",IF(O22&gt;N22,"À vérifier","Payé"))))</f>
        <v/>
      </c>
      <c r="S22" s="21">
        <f>IF(A22="","",ROUND(N22-O22,2))</f>
        <v/>
      </c>
      <c r="T22" s="21">
        <f>IF(A22="","",IFERROR(MIN(I22,ROUND(O22/N22*I22,2)),0))</f>
        <v/>
      </c>
      <c r="U22" s="21">
        <f>IF(A22="","",IFERROR(ROUND(O22/N22*K22,2),0))</f>
        <v/>
      </c>
      <c r="V22" s="21">
        <f>IF(A22="","",IFERROR(ROUND(O22/N22*M22,2),0))</f>
        <v/>
      </c>
      <c r="W22" s="21">
        <f>IF(A22="","",ROUND(N22-(I22+K22+M22),2))</f>
        <v/>
      </c>
      <c r="X22" s="18">
        <f>IF(A22="","",IF(E22="Client introuvable","Code client introuvable",IF(O22&gt;N22,"Encaissement supérieur au total",IF(AND(C22&lt;B22,C22&lt;&gt;""),"Date d’échéance invalide",IF(MAX(W22,-W22)&gt;0.01,"Écart de calcul à vérifier",IF(AND(R22&lt;&gt;"Payé",C22&lt;'Paramètres'!$B$6,C22&lt;&gt;""),"Échéance dépassée","OK"))))))</f>
        <v/>
      </c>
      <c r="Y22" s="16" t="n"/>
    </row>
    <row r="23">
      <c r="A23" s="16" t="n"/>
      <c r="B23" s="17" t="n"/>
      <c r="C23" s="17" t="n"/>
      <c r="D23" s="16" t="n"/>
      <c r="E23" s="18">
        <f>IF(D23="","",IFERROR(VLOOKUP(D23,'Clients'!$A$4:$J$103,2,FALSE),"Client introuvable"))</f>
        <v/>
      </c>
      <c r="F23" s="16" t="n"/>
      <c r="G23" s="16" t="n"/>
      <c r="H23" s="16" t="n"/>
      <c r="I23" s="19" t="n"/>
      <c r="J23" s="20">
        <f>IF(H23="","",IFERROR(VLOOKUP(H23,'Paramètres'!$A$12:$D$14,3,FALSE),0))</f>
        <v/>
      </c>
      <c r="K23" s="21">
        <f>IF(I23="","",ROUND(I23*J23,2))</f>
        <v/>
      </c>
      <c r="L23" s="20">
        <f>IF(H23="","",IFERROR(VLOOKUP(H23,'Paramètres'!$A$12:$D$14,4,FALSE),0))</f>
        <v/>
      </c>
      <c r="M23" s="21">
        <f>IF(I23="","",ROUND(I23*L23,2))</f>
        <v/>
      </c>
      <c r="N23" s="21">
        <f>IF(I23="","",ROUND(I23+K23+M23,2))</f>
        <v/>
      </c>
      <c r="O23" s="19" t="n"/>
      <c r="P23" s="17" t="n"/>
      <c r="Q23" s="16" t="n"/>
      <c r="R23" s="18">
        <f>IF(A23="","",IF(O23&lt;=0,"Non payé",IF(O23&lt;N23,"Partiellement payé",IF(O23&gt;N23,"À vérifier","Payé"))))</f>
        <v/>
      </c>
      <c r="S23" s="21">
        <f>IF(A23="","",ROUND(N23-O23,2))</f>
        <v/>
      </c>
      <c r="T23" s="21">
        <f>IF(A23="","",IFERROR(MIN(I23,ROUND(O23/N23*I23,2)),0))</f>
        <v/>
      </c>
      <c r="U23" s="21">
        <f>IF(A23="","",IFERROR(ROUND(O23/N23*K23,2),0))</f>
        <v/>
      </c>
      <c r="V23" s="21">
        <f>IF(A23="","",IFERROR(ROUND(O23/N23*M23,2),0))</f>
        <v/>
      </c>
      <c r="W23" s="21">
        <f>IF(A23="","",ROUND(N23-(I23+K23+M23),2))</f>
        <v/>
      </c>
      <c r="X23" s="18">
        <f>IF(A23="","",IF(E23="Client introuvable","Code client introuvable",IF(O23&gt;N23,"Encaissement supérieur au total",IF(AND(C23&lt;B23,C23&lt;&gt;""),"Date d’échéance invalide",IF(MAX(W23,-W23)&gt;0.01,"Écart de calcul à vérifier",IF(AND(R23&lt;&gt;"Payé",C23&lt;'Paramètres'!$B$6,C23&lt;&gt;""),"Échéance dépassée","OK"))))))</f>
        <v/>
      </c>
      <c r="Y23" s="16" t="n"/>
    </row>
    <row r="24">
      <c r="A24" s="16" t="n"/>
      <c r="B24" s="17" t="n"/>
      <c r="C24" s="17" t="n"/>
      <c r="D24" s="16" t="n"/>
      <c r="E24" s="18">
        <f>IF(D24="","",IFERROR(VLOOKUP(D24,'Clients'!$A$4:$J$103,2,FALSE),"Client introuvable"))</f>
        <v/>
      </c>
      <c r="F24" s="16" t="n"/>
      <c r="G24" s="16" t="n"/>
      <c r="H24" s="16" t="n"/>
      <c r="I24" s="19" t="n"/>
      <c r="J24" s="20">
        <f>IF(H24="","",IFERROR(VLOOKUP(H24,'Paramètres'!$A$12:$D$14,3,FALSE),0))</f>
        <v/>
      </c>
      <c r="K24" s="21">
        <f>IF(I24="","",ROUND(I24*J24,2))</f>
        <v/>
      </c>
      <c r="L24" s="20">
        <f>IF(H24="","",IFERROR(VLOOKUP(H24,'Paramètres'!$A$12:$D$14,4,FALSE),0))</f>
        <v/>
      </c>
      <c r="M24" s="21">
        <f>IF(I24="","",ROUND(I24*L24,2))</f>
        <v/>
      </c>
      <c r="N24" s="21">
        <f>IF(I24="","",ROUND(I24+K24+M24,2))</f>
        <v/>
      </c>
      <c r="O24" s="19" t="n"/>
      <c r="P24" s="17" t="n"/>
      <c r="Q24" s="16" t="n"/>
      <c r="R24" s="18">
        <f>IF(A24="","",IF(O24&lt;=0,"Non payé",IF(O24&lt;N24,"Partiellement payé",IF(O24&gt;N24,"À vérifier","Payé"))))</f>
        <v/>
      </c>
      <c r="S24" s="21">
        <f>IF(A24="","",ROUND(N24-O24,2))</f>
        <v/>
      </c>
      <c r="T24" s="21">
        <f>IF(A24="","",IFERROR(MIN(I24,ROUND(O24/N24*I24,2)),0))</f>
        <v/>
      </c>
      <c r="U24" s="21">
        <f>IF(A24="","",IFERROR(ROUND(O24/N24*K24,2),0))</f>
        <v/>
      </c>
      <c r="V24" s="21">
        <f>IF(A24="","",IFERROR(ROUND(O24/N24*M24,2),0))</f>
        <v/>
      </c>
      <c r="W24" s="21">
        <f>IF(A24="","",ROUND(N24-(I24+K24+M24),2))</f>
        <v/>
      </c>
      <c r="X24" s="18">
        <f>IF(A24="","",IF(E24="Client introuvable","Code client introuvable",IF(O24&gt;N24,"Encaissement supérieur au total",IF(AND(C24&lt;B24,C24&lt;&gt;""),"Date d’échéance invalide",IF(MAX(W24,-W24)&gt;0.01,"Écart de calcul à vérifier",IF(AND(R24&lt;&gt;"Payé",C24&lt;'Paramètres'!$B$6,C24&lt;&gt;""),"Échéance dépassée","OK"))))))</f>
        <v/>
      </c>
      <c r="Y24" s="16" t="n"/>
    </row>
    <row r="25">
      <c r="A25" s="16" t="n"/>
      <c r="B25" s="17" t="n"/>
      <c r="C25" s="17" t="n"/>
      <c r="D25" s="16" t="n"/>
      <c r="E25" s="18">
        <f>IF(D25="","",IFERROR(VLOOKUP(D25,'Clients'!$A$4:$J$103,2,FALSE),"Client introuvable"))</f>
        <v/>
      </c>
      <c r="F25" s="16" t="n"/>
      <c r="G25" s="16" t="n"/>
      <c r="H25" s="16" t="n"/>
      <c r="I25" s="19" t="n"/>
      <c r="J25" s="20">
        <f>IF(H25="","",IFERROR(VLOOKUP(H25,'Paramètres'!$A$12:$D$14,3,FALSE),0))</f>
        <v/>
      </c>
      <c r="K25" s="21">
        <f>IF(I25="","",ROUND(I25*J25,2))</f>
        <v/>
      </c>
      <c r="L25" s="20">
        <f>IF(H25="","",IFERROR(VLOOKUP(H25,'Paramètres'!$A$12:$D$14,4,FALSE),0))</f>
        <v/>
      </c>
      <c r="M25" s="21">
        <f>IF(I25="","",ROUND(I25*L25,2))</f>
        <v/>
      </c>
      <c r="N25" s="21">
        <f>IF(I25="","",ROUND(I25+K25+M25,2))</f>
        <v/>
      </c>
      <c r="O25" s="19" t="n"/>
      <c r="P25" s="17" t="n"/>
      <c r="Q25" s="16" t="n"/>
      <c r="R25" s="18">
        <f>IF(A25="","",IF(O25&lt;=0,"Non payé",IF(O25&lt;N25,"Partiellement payé",IF(O25&gt;N25,"À vérifier","Payé"))))</f>
        <v/>
      </c>
      <c r="S25" s="21">
        <f>IF(A25="","",ROUND(N25-O25,2))</f>
        <v/>
      </c>
      <c r="T25" s="21">
        <f>IF(A25="","",IFERROR(MIN(I25,ROUND(O25/N25*I25,2)),0))</f>
        <v/>
      </c>
      <c r="U25" s="21">
        <f>IF(A25="","",IFERROR(ROUND(O25/N25*K25,2),0))</f>
        <v/>
      </c>
      <c r="V25" s="21">
        <f>IF(A25="","",IFERROR(ROUND(O25/N25*M25,2),0))</f>
        <v/>
      </c>
      <c r="W25" s="21">
        <f>IF(A25="","",ROUND(N25-(I25+K25+M25),2))</f>
        <v/>
      </c>
      <c r="X25" s="18">
        <f>IF(A25="","",IF(E25="Client introuvable","Code client introuvable",IF(O25&gt;N25,"Encaissement supérieur au total",IF(AND(C25&lt;B25,C25&lt;&gt;""),"Date d’échéance invalide",IF(MAX(W25,-W25)&gt;0.01,"Écart de calcul à vérifier",IF(AND(R25&lt;&gt;"Payé",C25&lt;'Paramètres'!$B$6,C25&lt;&gt;""),"Échéance dépassée","OK"))))))</f>
        <v/>
      </c>
      <c r="Y25" s="16" t="n"/>
    </row>
    <row r="26">
      <c r="A26" s="16" t="n"/>
      <c r="B26" s="17" t="n"/>
      <c r="C26" s="17" t="n"/>
      <c r="D26" s="16" t="n"/>
      <c r="E26" s="18">
        <f>IF(D26="","",IFERROR(VLOOKUP(D26,'Clients'!$A$4:$J$103,2,FALSE),"Client introuvable"))</f>
        <v/>
      </c>
      <c r="F26" s="16" t="n"/>
      <c r="G26" s="16" t="n"/>
      <c r="H26" s="16" t="n"/>
      <c r="I26" s="19" t="n"/>
      <c r="J26" s="20">
        <f>IF(H26="","",IFERROR(VLOOKUP(H26,'Paramètres'!$A$12:$D$14,3,FALSE),0))</f>
        <v/>
      </c>
      <c r="K26" s="21">
        <f>IF(I26="","",ROUND(I26*J26,2))</f>
        <v/>
      </c>
      <c r="L26" s="20">
        <f>IF(H26="","",IFERROR(VLOOKUP(H26,'Paramètres'!$A$12:$D$14,4,FALSE),0))</f>
        <v/>
      </c>
      <c r="M26" s="21">
        <f>IF(I26="","",ROUND(I26*L26,2))</f>
        <v/>
      </c>
      <c r="N26" s="21">
        <f>IF(I26="","",ROUND(I26+K26+M26,2))</f>
        <v/>
      </c>
      <c r="O26" s="19" t="n"/>
      <c r="P26" s="17" t="n"/>
      <c r="Q26" s="16" t="n"/>
      <c r="R26" s="18">
        <f>IF(A26="","",IF(O26&lt;=0,"Non payé",IF(O26&lt;N26,"Partiellement payé",IF(O26&gt;N26,"À vérifier","Payé"))))</f>
        <v/>
      </c>
      <c r="S26" s="21">
        <f>IF(A26="","",ROUND(N26-O26,2))</f>
        <v/>
      </c>
      <c r="T26" s="21">
        <f>IF(A26="","",IFERROR(MIN(I26,ROUND(O26/N26*I26,2)),0))</f>
        <v/>
      </c>
      <c r="U26" s="21">
        <f>IF(A26="","",IFERROR(ROUND(O26/N26*K26,2),0))</f>
        <v/>
      </c>
      <c r="V26" s="21">
        <f>IF(A26="","",IFERROR(ROUND(O26/N26*M26,2),0))</f>
        <v/>
      </c>
      <c r="W26" s="21">
        <f>IF(A26="","",ROUND(N26-(I26+K26+M26),2))</f>
        <v/>
      </c>
      <c r="X26" s="18">
        <f>IF(A26="","",IF(E26="Client introuvable","Code client introuvable",IF(O26&gt;N26,"Encaissement supérieur au total",IF(AND(C26&lt;B26,C26&lt;&gt;""),"Date d’échéance invalide",IF(MAX(W26,-W26)&gt;0.01,"Écart de calcul à vérifier",IF(AND(R26&lt;&gt;"Payé",C26&lt;'Paramètres'!$B$6,C26&lt;&gt;""),"Échéance dépassée","OK"))))))</f>
        <v/>
      </c>
      <c r="Y26" s="16" t="n"/>
    </row>
    <row r="27">
      <c r="A27" s="16" t="n"/>
      <c r="B27" s="17" t="n"/>
      <c r="C27" s="17" t="n"/>
      <c r="D27" s="16" t="n"/>
      <c r="E27" s="18">
        <f>IF(D27="","",IFERROR(VLOOKUP(D27,'Clients'!$A$4:$J$103,2,FALSE),"Client introuvable"))</f>
        <v/>
      </c>
      <c r="F27" s="16" t="n"/>
      <c r="G27" s="16" t="n"/>
      <c r="H27" s="16" t="n"/>
      <c r="I27" s="19" t="n"/>
      <c r="J27" s="20">
        <f>IF(H27="","",IFERROR(VLOOKUP(H27,'Paramètres'!$A$12:$D$14,3,FALSE),0))</f>
        <v/>
      </c>
      <c r="K27" s="21">
        <f>IF(I27="","",ROUND(I27*J27,2))</f>
        <v/>
      </c>
      <c r="L27" s="20">
        <f>IF(H27="","",IFERROR(VLOOKUP(H27,'Paramètres'!$A$12:$D$14,4,FALSE),0))</f>
        <v/>
      </c>
      <c r="M27" s="21">
        <f>IF(I27="","",ROUND(I27*L27,2))</f>
        <v/>
      </c>
      <c r="N27" s="21">
        <f>IF(I27="","",ROUND(I27+K27+M27,2))</f>
        <v/>
      </c>
      <c r="O27" s="19" t="n"/>
      <c r="P27" s="17" t="n"/>
      <c r="Q27" s="16" t="n"/>
      <c r="R27" s="18">
        <f>IF(A27="","",IF(O27&lt;=0,"Non payé",IF(O27&lt;N27,"Partiellement payé",IF(O27&gt;N27,"À vérifier","Payé"))))</f>
        <v/>
      </c>
      <c r="S27" s="21">
        <f>IF(A27="","",ROUND(N27-O27,2))</f>
        <v/>
      </c>
      <c r="T27" s="21">
        <f>IF(A27="","",IFERROR(MIN(I27,ROUND(O27/N27*I27,2)),0))</f>
        <v/>
      </c>
      <c r="U27" s="21">
        <f>IF(A27="","",IFERROR(ROUND(O27/N27*K27,2),0))</f>
        <v/>
      </c>
      <c r="V27" s="21">
        <f>IF(A27="","",IFERROR(ROUND(O27/N27*M27,2),0))</f>
        <v/>
      </c>
      <c r="W27" s="21">
        <f>IF(A27="","",ROUND(N27-(I27+K27+M27),2))</f>
        <v/>
      </c>
      <c r="X27" s="18">
        <f>IF(A27="","",IF(E27="Client introuvable","Code client introuvable",IF(O27&gt;N27,"Encaissement supérieur au total",IF(AND(C27&lt;B27,C27&lt;&gt;""),"Date d’échéance invalide",IF(MAX(W27,-W27)&gt;0.01,"Écart de calcul à vérifier",IF(AND(R27&lt;&gt;"Payé",C27&lt;'Paramètres'!$B$6,C27&lt;&gt;""),"Échéance dépassée","OK"))))))</f>
        <v/>
      </c>
      <c r="Y27" s="16" t="n"/>
    </row>
    <row r="28">
      <c r="A28" s="16" t="n"/>
      <c r="B28" s="17" t="n"/>
      <c r="C28" s="17" t="n"/>
      <c r="D28" s="16" t="n"/>
      <c r="E28" s="18">
        <f>IF(D28="","",IFERROR(VLOOKUP(D28,'Clients'!$A$4:$J$103,2,FALSE),"Client introuvable"))</f>
        <v/>
      </c>
      <c r="F28" s="16" t="n"/>
      <c r="G28" s="16" t="n"/>
      <c r="H28" s="16" t="n"/>
      <c r="I28" s="19" t="n"/>
      <c r="J28" s="20">
        <f>IF(H28="","",IFERROR(VLOOKUP(H28,'Paramètres'!$A$12:$D$14,3,FALSE),0))</f>
        <v/>
      </c>
      <c r="K28" s="21">
        <f>IF(I28="","",ROUND(I28*J28,2))</f>
        <v/>
      </c>
      <c r="L28" s="20">
        <f>IF(H28="","",IFERROR(VLOOKUP(H28,'Paramètres'!$A$12:$D$14,4,FALSE),0))</f>
        <v/>
      </c>
      <c r="M28" s="21">
        <f>IF(I28="","",ROUND(I28*L28,2))</f>
        <v/>
      </c>
      <c r="N28" s="21">
        <f>IF(I28="","",ROUND(I28+K28+M28,2))</f>
        <v/>
      </c>
      <c r="O28" s="19" t="n"/>
      <c r="P28" s="17" t="n"/>
      <c r="Q28" s="16" t="n"/>
      <c r="R28" s="18">
        <f>IF(A28="","",IF(O28&lt;=0,"Non payé",IF(O28&lt;N28,"Partiellement payé",IF(O28&gt;N28,"À vérifier","Payé"))))</f>
        <v/>
      </c>
      <c r="S28" s="21">
        <f>IF(A28="","",ROUND(N28-O28,2))</f>
        <v/>
      </c>
      <c r="T28" s="21">
        <f>IF(A28="","",IFERROR(MIN(I28,ROUND(O28/N28*I28,2)),0))</f>
        <v/>
      </c>
      <c r="U28" s="21">
        <f>IF(A28="","",IFERROR(ROUND(O28/N28*K28,2),0))</f>
        <v/>
      </c>
      <c r="V28" s="21">
        <f>IF(A28="","",IFERROR(ROUND(O28/N28*M28,2),0))</f>
        <v/>
      </c>
      <c r="W28" s="21">
        <f>IF(A28="","",ROUND(N28-(I28+K28+M28),2))</f>
        <v/>
      </c>
      <c r="X28" s="18">
        <f>IF(A28="","",IF(E28="Client introuvable","Code client introuvable",IF(O28&gt;N28,"Encaissement supérieur au total",IF(AND(C28&lt;B28,C28&lt;&gt;""),"Date d’échéance invalide",IF(MAX(W28,-W28)&gt;0.01,"Écart de calcul à vérifier",IF(AND(R28&lt;&gt;"Payé",C28&lt;'Paramètres'!$B$6,C28&lt;&gt;""),"Échéance dépassée","OK"))))))</f>
        <v/>
      </c>
      <c r="Y28" s="16" t="n"/>
    </row>
    <row r="29">
      <c r="A29" s="16" t="n"/>
      <c r="B29" s="17" t="n"/>
      <c r="C29" s="17" t="n"/>
      <c r="D29" s="16" t="n"/>
      <c r="E29" s="18">
        <f>IF(D29="","",IFERROR(VLOOKUP(D29,'Clients'!$A$4:$J$103,2,FALSE),"Client introuvable"))</f>
        <v/>
      </c>
      <c r="F29" s="16" t="n"/>
      <c r="G29" s="16" t="n"/>
      <c r="H29" s="16" t="n"/>
      <c r="I29" s="19" t="n"/>
      <c r="J29" s="20">
        <f>IF(H29="","",IFERROR(VLOOKUP(H29,'Paramètres'!$A$12:$D$14,3,FALSE),0))</f>
        <v/>
      </c>
      <c r="K29" s="21">
        <f>IF(I29="","",ROUND(I29*J29,2))</f>
        <v/>
      </c>
      <c r="L29" s="20">
        <f>IF(H29="","",IFERROR(VLOOKUP(H29,'Paramètres'!$A$12:$D$14,4,FALSE),0))</f>
        <v/>
      </c>
      <c r="M29" s="21">
        <f>IF(I29="","",ROUND(I29*L29,2))</f>
        <v/>
      </c>
      <c r="N29" s="21">
        <f>IF(I29="","",ROUND(I29+K29+M29,2))</f>
        <v/>
      </c>
      <c r="O29" s="19" t="n"/>
      <c r="P29" s="17" t="n"/>
      <c r="Q29" s="16" t="n"/>
      <c r="R29" s="18">
        <f>IF(A29="","",IF(O29&lt;=0,"Non payé",IF(O29&lt;N29,"Partiellement payé",IF(O29&gt;N29,"À vérifier","Payé"))))</f>
        <v/>
      </c>
      <c r="S29" s="21">
        <f>IF(A29="","",ROUND(N29-O29,2))</f>
        <v/>
      </c>
      <c r="T29" s="21">
        <f>IF(A29="","",IFERROR(MIN(I29,ROUND(O29/N29*I29,2)),0))</f>
        <v/>
      </c>
      <c r="U29" s="21">
        <f>IF(A29="","",IFERROR(ROUND(O29/N29*K29,2),0))</f>
        <v/>
      </c>
      <c r="V29" s="21">
        <f>IF(A29="","",IFERROR(ROUND(O29/N29*M29,2),0))</f>
        <v/>
      </c>
      <c r="W29" s="21">
        <f>IF(A29="","",ROUND(N29-(I29+K29+M29),2))</f>
        <v/>
      </c>
      <c r="X29" s="18">
        <f>IF(A29="","",IF(E29="Client introuvable","Code client introuvable",IF(O29&gt;N29,"Encaissement supérieur au total",IF(AND(C29&lt;B29,C29&lt;&gt;""),"Date d’échéance invalide",IF(MAX(W29,-W29)&gt;0.01,"Écart de calcul à vérifier",IF(AND(R29&lt;&gt;"Payé",C29&lt;'Paramètres'!$B$6,C29&lt;&gt;""),"Échéance dépassée","OK"))))))</f>
        <v/>
      </c>
      <c r="Y29" s="16" t="n"/>
    </row>
    <row r="30">
      <c r="A30" s="16" t="n"/>
      <c r="B30" s="17" t="n"/>
      <c r="C30" s="17" t="n"/>
      <c r="D30" s="16" t="n"/>
      <c r="E30" s="18">
        <f>IF(D30="","",IFERROR(VLOOKUP(D30,'Clients'!$A$4:$J$103,2,FALSE),"Client introuvable"))</f>
        <v/>
      </c>
      <c r="F30" s="16" t="n"/>
      <c r="G30" s="16" t="n"/>
      <c r="H30" s="16" t="n"/>
      <c r="I30" s="19" t="n"/>
      <c r="J30" s="20">
        <f>IF(H30="","",IFERROR(VLOOKUP(H30,'Paramètres'!$A$12:$D$14,3,FALSE),0))</f>
        <v/>
      </c>
      <c r="K30" s="21">
        <f>IF(I30="","",ROUND(I30*J30,2))</f>
        <v/>
      </c>
      <c r="L30" s="20">
        <f>IF(H30="","",IFERROR(VLOOKUP(H30,'Paramètres'!$A$12:$D$14,4,FALSE),0))</f>
        <v/>
      </c>
      <c r="M30" s="21">
        <f>IF(I30="","",ROUND(I30*L30,2))</f>
        <v/>
      </c>
      <c r="N30" s="21">
        <f>IF(I30="","",ROUND(I30+K30+M30,2))</f>
        <v/>
      </c>
      <c r="O30" s="19" t="n"/>
      <c r="P30" s="17" t="n"/>
      <c r="Q30" s="16" t="n"/>
      <c r="R30" s="18">
        <f>IF(A30="","",IF(O30&lt;=0,"Non payé",IF(O30&lt;N30,"Partiellement payé",IF(O30&gt;N30,"À vérifier","Payé"))))</f>
        <v/>
      </c>
      <c r="S30" s="21">
        <f>IF(A30="","",ROUND(N30-O30,2))</f>
        <v/>
      </c>
      <c r="T30" s="21">
        <f>IF(A30="","",IFERROR(MIN(I30,ROUND(O30/N30*I30,2)),0))</f>
        <v/>
      </c>
      <c r="U30" s="21">
        <f>IF(A30="","",IFERROR(ROUND(O30/N30*K30,2),0))</f>
        <v/>
      </c>
      <c r="V30" s="21">
        <f>IF(A30="","",IFERROR(ROUND(O30/N30*M30,2),0))</f>
        <v/>
      </c>
      <c r="W30" s="21">
        <f>IF(A30="","",ROUND(N30-(I30+K30+M30),2))</f>
        <v/>
      </c>
      <c r="X30" s="18">
        <f>IF(A30="","",IF(E30="Client introuvable","Code client introuvable",IF(O30&gt;N30,"Encaissement supérieur au total",IF(AND(C30&lt;B30,C30&lt;&gt;""),"Date d’échéance invalide",IF(MAX(W30,-W30)&gt;0.01,"Écart de calcul à vérifier",IF(AND(R30&lt;&gt;"Payé",C30&lt;'Paramètres'!$B$6,C30&lt;&gt;""),"Échéance dépassée","OK"))))))</f>
        <v/>
      </c>
      <c r="Y30" s="16" t="n"/>
    </row>
    <row r="31">
      <c r="A31" s="16" t="n"/>
      <c r="B31" s="17" t="n"/>
      <c r="C31" s="17" t="n"/>
      <c r="D31" s="16" t="n"/>
      <c r="E31" s="18">
        <f>IF(D31="","",IFERROR(VLOOKUP(D31,'Clients'!$A$4:$J$103,2,FALSE),"Client introuvable"))</f>
        <v/>
      </c>
      <c r="F31" s="16" t="n"/>
      <c r="G31" s="16" t="n"/>
      <c r="H31" s="16" t="n"/>
      <c r="I31" s="19" t="n"/>
      <c r="J31" s="20">
        <f>IF(H31="","",IFERROR(VLOOKUP(H31,'Paramètres'!$A$12:$D$14,3,FALSE),0))</f>
        <v/>
      </c>
      <c r="K31" s="21">
        <f>IF(I31="","",ROUND(I31*J31,2))</f>
        <v/>
      </c>
      <c r="L31" s="20">
        <f>IF(H31="","",IFERROR(VLOOKUP(H31,'Paramètres'!$A$12:$D$14,4,FALSE),0))</f>
        <v/>
      </c>
      <c r="M31" s="21">
        <f>IF(I31="","",ROUND(I31*L31,2))</f>
        <v/>
      </c>
      <c r="N31" s="21">
        <f>IF(I31="","",ROUND(I31+K31+M31,2))</f>
        <v/>
      </c>
      <c r="O31" s="19" t="n"/>
      <c r="P31" s="17" t="n"/>
      <c r="Q31" s="16" t="n"/>
      <c r="R31" s="18">
        <f>IF(A31="","",IF(O31&lt;=0,"Non payé",IF(O31&lt;N31,"Partiellement payé",IF(O31&gt;N31,"À vérifier","Payé"))))</f>
        <v/>
      </c>
      <c r="S31" s="21">
        <f>IF(A31="","",ROUND(N31-O31,2))</f>
        <v/>
      </c>
      <c r="T31" s="21">
        <f>IF(A31="","",IFERROR(MIN(I31,ROUND(O31/N31*I31,2)),0))</f>
        <v/>
      </c>
      <c r="U31" s="21">
        <f>IF(A31="","",IFERROR(ROUND(O31/N31*K31,2),0))</f>
        <v/>
      </c>
      <c r="V31" s="21">
        <f>IF(A31="","",IFERROR(ROUND(O31/N31*M31,2),0))</f>
        <v/>
      </c>
      <c r="W31" s="21">
        <f>IF(A31="","",ROUND(N31-(I31+K31+M31),2))</f>
        <v/>
      </c>
      <c r="X31" s="18">
        <f>IF(A31="","",IF(E31="Client introuvable","Code client introuvable",IF(O31&gt;N31,"Encaissement supérieur au total",IF(AND(C31&lt;B31,C31&lt;&gt;""),"Date d’échéance invalide",IF(MAX(W31,-W31)&gt;0.01,"Écart de calcul à vérifier",IF(AND(R31&lt;&gt;"Payé",C31&lt;'Paramètres'!$B$6,C31&lt;&gt;""),"Échéance dépassée","OK"))))))</f>
        <v/>
      </c>
      <c r="Y31" s="16" t="n"/>
    </row>
    <row r="32">
      <c r="A32" s="16" t="n"/>
      <c r="B32" s="17" t="n"/>
      <c r="C32" s="17" t="n"/>
      <c r="D32" s="16" t="n"/>
      <c r="E32" s="18">
        <f>IF(D32="","",IFERROR(VLOOKUP(D32,'Clients'!$A$4:$J$103,2,FALSE),"Client introuvable"))</f>
        <v/>
      </c>
      <c r="F32" s="16" t="n"/>
      <c r="G32" s="16" t="n"/>
      <c r="H32" s="16" t="n"/>
      <c r="I32" s="19" t="n"/>
      <c r="J32" s="20">
        <f>IF(H32="","",IFERROR(VLOOKUP(H32,'Paramètres'!$A$12:$D$14,3,FALSE),0))</f>
        <v/>
      </c>
      <c r="K32" s="21">
        <f>IF(I32="","",ROUND(I32*J32,2))</f>
        <v/>
      </c>
      <c r="L32" s="20">
        <f>IF(H32="","",IFERROR(VLOOKUP(H32,'Paramètres'!$A$12:$D$14,4,FALSE),0))</f>
        <v/>
      </c>
      <c r="M32" s="21">
        <f>IF(I32="","",ROUND(I32*L32,2))</f>
        <v/>
      </c>
      <c r="N32" s="21">
        <f>IF(I32="","",ROUND(I32+K32+M32,2))</f>
        <v/>
      </c>
      <c r="O32" s="19" t="n"/>
      <c r="P32" s="17" t="n"/>
      <c r="Q32" s="16" t="n"/>
      <c r="R32" s="18">
        <f>IF(A32="","",IF(O32&lt;=0,"Non payé",IF(O32&lt;N32,"Partiellement payé",IF(O32&gt;N32,"À vérifier","Payé"))))</f>
        <v/>
      </c>
      <c r="S32" s="21">
        <f>IF(A32="","",ROUND(N32-O32,2))</f>
        <v/>
      </c>
      <c r="T32" s="21">
        <f>IF(A32="","",IFERROR(MIN(I32,ROUND(O32/N32*I32,2)),0))</f>
        <v/>
      </c>
      <c r="U32" s="21">
        <f>IF(A32="","",IFERROR(ROUND(O32/N32*K32,2),0))</f>
        <v/>
      </c>
      <c r="V32" s="21">
        <f>IF(A32="","",IFERROR(ROUND(O32/N32*M32,2),0))</f>
        <v/>
      </c>
      <c r="W32" s="21">
        <f>IF(A32="","",ROUND(N32-(I32+K32+M32),2))</f>
        <v/>
      </c>
      <c r="X32" s="18">
        <f>IF(A32="","",IF(E32="Client introuvable","Code client introuvable",IF(O32&gt;N32,"Encaissement supérieur au total",IF(AND(C32&lt;B32,C32&lt;&gt;""),"Date d’échéance invalide",IF(MAX(W32,-W32)&gt;0.01,"Écart de calcul à vérifier",IF(AND(R32&lt;&gt;"Payé",C32&lt;'Paramètres'!$B$6,C32&lt;&gt;""),"Échéance dépassée","OK"))))))</f>
        <v/>
      </c>
      <c r="Y32" s="16" t="n"/>
    </row>
    <row r="33">
      <c r="A33" s="16" t="n"/>
      <c r="B33" s="17" t="n"/>
      <c r="C33" s="17" t="n"/>
      <c r="D33" s="16" t="n"/>
      <c r="E33" s="18">
        <f>IF(D33="","",IFERROR(VLOOKUP(D33,'Clients'!$A$4:$J$103,2,FALSE),"Client introuvable"))</f>
        <v/>
      </c>
      <c r="F33" s="16" t="n"/>
      <c r="G33" s="16" t="n"/>
      <c r="H33" s="16" t="n"/>
      <c r="I33" s="19" t="n"/>
      <c r="J33" s="20">
        <f>IF(H33="","",IFERROR(VLOOKUP(H33,'Paramètres'!$A$12:$D$14,3,FALSE),0))</f>
        <v/>
      </c>
      <c r="K33" s="21">
        <f>IF(I33="","",ROUND(I33*J33,2))</f>
        <v/>
      </c>
      <c r="L33" s="20">
        <f>IF(H33="","",IFERROR(VLOOKUP(H33,'Paramètres'!$A$12:$D$14,4,FALSE),0))</f>
        <v/>
      </c>
      <c r="M33" s="21">
        <f>IF(I33="","",ROUND(I33*L33,2))</f>
        <v/>
      </c>
      <c r="N33" s="21">
        <f>IF(I33="","",ROUND(I33+K33+M33,2))</f>
        <v/>
      </c>
      <c r="O33" s="19" t="n"/>
      <c r="P33" s="17" t="n"/>
      <c r="Q33" s="16" t="n"/>
      <c r="R33" s="18">
        <f>IF(A33="","",IF(O33&lt;=0,"Non payé",IF(O33&lt;N33,"Partiellement payé",IF(O33&gt;N33,"À vérifier","Payé"))))</f>
        <v/>
      </c>
      <c r="S33" s="21">
        <f>IF(A33="","",ROUND(N33-O33,2))</f>
        <v/>
      </c>
      <c r="T33" s="21">
        <f>IF(A33="","",IFERROR(MIN(I33,ROUND(O33/N33*I33,2)),0))</f>
        <v/>
      </c>
      <c r="U33" s="21">
        <f>IF(A33="","",IFERROR(ROUND(O33/N33*K33,2),0))</f>
        <v/>
      </c>
      <c r="V33" s="21">
        <f>IF(A33="","",IFERROR(ROUND(O33/N33*M33,2),0))</f>
        <v/>
      </c>
      <c r="W33" s="21">
        <f>IF(A33="","",ROUND(N33-(I33+K33+M33),2))</f>
        <v/>
      </c>
      <c r="X33" s="18">
        <f>IF(A33="","",IF(E33="Client introuvable","Code client introuvable",IF(O33&gt;N33,"Encaissement supérieur au total",IF(AND(C33&lt;B33,C33&lt;&gt;""),"Date d’échéance invalide",IF(MAX(W33,-W33)&gt;0.01,"Écart de calcul à vérifier",IF(AND(R33&lt;&gt;"Payé",C33&lt;'Paramètres'!$B$6,C33&lt;&gt;""),"Échéance dépassée","OK"))))))</f>
        <v/>
      </c>
      <c r="Y33" s="16" t="n"/>
    </row>
    <row r="34">
      <c r="A34" s="16" t="n"/>
      <c r="B34" s="17" t="n"/>
      <c r="C34" s="17" t="n"/>
      <c r="D34" s="16" t="n"/>
      <c r="E34" s="18">
        <f>IF(D34="","",IFERROR(VLOOKUP(D34,'Clients'!$A$4:$J$103,2,FALSE),"Client introuvable"))</f>
        <v/>
      </c>
      <c r="F34" s="16" t="n"/>
      <c r="G34" s="16" t="n"/>
      <c r="H34" s="16" t="n"/>
      <c r="I34" s="19" t="n"/>
      <c r="J34" s="20">
        <f>IF(H34="","",IFERROR(VLOOKUP(H34,'Paramètres'!$A$12:$D$14,3,FALSE),0))</f>
        <v/>
      </c>
      <c r="K34" s="21">
        <f>IF(I34="","",ROUND(I34*J34,2))</f>
        <v/>
      </c>
      <c r="L34" s="20">
        <f>IF(H34="","",IFERROR(VLOOKUP(H34,'Paramètres'!$A$12:$D$14,4,FALSE),0))</f>
        <v/>
      </c>
      <c r="M34" s="21">
        <f>IF(I34="","",ROUND(I34*L34,2))</f>
        <v/>
      </c>
      <c r="N34" s="21">
        <f>IF(I34="","",ROUND(I34+K34+M34,2))</f>
        <v/>
      </c>
      <c r="O34" s="19" t="n"/>
      <c r="P34" s="17" t="n"/>
      <c r="Q34" s="16" t="n"/>
      <c r="R34" s="18">
        <f>IF(A34="","",IF(O34&lt;=0,"Non payé",IF(O34&lt;N34,"Partiellement payé",IF(O34&gt;N34,"À vérifier","Payé"))))</f>
        <v/>
      </c>
      <c r="S34" s="21">
        <f>IF(A34="","",ROUND(N34-O34,2))</f>
        <v/>
      </c>
      <c r="T34" s="21">
        <f>IF(A34="","",IFERROR(MIN(I34,ROUND(O34/N34*I34,2)),0))</f>
        <v/>
      </c>
      <c r="U34" s="21">
        <f>IF(A34="","",IFERROR(ROUND(O34/N34*K34,2),0))</f>
        <v/>
      </c>
      <c r="V34" s="21">
        <f>IF(A34="","",IFERROR(ROUND(O34/N34*M34,2),0))</f>
        <v/>
      </c>
      <c r="W34" s="21">
        <f>IF(A34="","",ROUND(N34-(I34+K34+M34),2))</f>
        <v/>
      </c>
      <c r="X34" s="18">
        <f>IF(A34="","",IF(E34="Client introuvable","Code client introuvable",IF(O34&gt;N34,"Encaissement supérieur au total",IF(AND(C34&lt;B34,C34&lt;&gt;""),"Date d’échéance invalide",IF(MAX(W34,-W34)&gt;0.01,"Écart de calcul à vérifier",IF(AND(R34&lt;&gt;"Payé",C34&lt;'Paramètres'!$B$6,C34&lt;&gt;""),"Échéance dépassée","OK"))))))</f>
        <v/>
      </c>
      <c r="Y34" s="16" t="n"/>
    </row>
    <row r="35">
      <c r="A35" s="16" t="n"/>
      <c r="B35" s="17" t="n"/>
      <c r="C35" s="17" t="n"/>
      <c r="D35" s="16" t="n"/>
      <c r="E35" s="18">
        <f>IF(D35="","",IFERROR(VLOOKUP(D35,'Clients'!$A$4:$J$103,2,FALSE),"Client introuvable"))</f>
        <v/>
      </c>
      <c r="F35" s="16" t="n"/>
      <c r="G35" s="16" t="n"/>
      <c r="H35" s="16" t="n"/>
      <c r="I35" s="19" t="n"/>
      <c r="J35" s="20">
        <f>IF(H35="","",IFERROR(VLOOKUP(H35,'Paramètres'!$A$12:$D$14,3,FALSE),0))</f>
        <v/>
      </c>
      <c r="K35" s="21">
        <f>IF(I35="","",ROUND(I35*J35,2))</f>
        <v/>
      </c>
      <c r="L35" s="20">
        <f>IF(H35="","",IFERROR(VLOOKUP(H35,'Paramètres'!$A$12:$D$14,4,FALSE),0))</f>
        <v/>
      </c>
      <c r="M35" s="21">
        <f>IF(I35="","",ROUND(I35*L35,2))</f>
        <v/>
      </c>
      <c r="N35" s="21">
        <f>IF(I35="","",ROUND(I35+K35+M35,2))</f>
        <v/>
      </c>
      <c r="O35" s="19" t="n"/>
      <c r="P35" s="17" t="n"/>
      <c r="Q35" s="16" t="n"/>
      <c r="R35" s="18">
        <f>IF(A35="","",IF(O35&lt;=0,"Non payé",IF(O35&lt;N35,"Partiellement payé",IF(O35&gt;N35,"À vérifier","Payé"))))</f>
        <v/>
      </c>
      <c r="S35" s="21">
        <f>IF(A35="","",ROUND(N35-O35,2))</f>
        <v/>
      </c>
      <c r="T35" s="21">
        <f>IF(A35="","",IFERROR(MIN(I35,ROUND(O35/N35*I35,2)),0))</f>
        <v/>
      </c>
      <c r="U35" s="21">
        <f>IF(A35="","",IFERROR(ROUND(O35/N35*K35,2),0))</f>
        <v/>
      </c>
      <c r="V35" s="21">
        <f>IF(A35="","",IFERROR(ROUND(O35/N35*M35,2),0))</f>
        <v/>
      </c>
      <c r="W35" s="21">
        <f>IF(A35="","",ROUND(N35-(I35+K35+M35),2))</f>
        <v/>
      </c>
      <c r="X35" s="18">
        <f>IF(A35="","",IF(E35="Client introuvable","Code client introuvable",IF(O35&gt;N35,"Encaissement supérieur au total",IF(AND(C35&lt;B35,C35&lt;&gt;""),"Date d’échéance invalide",IF(MAX(W35,-W35)&gt;0.01,"Écart de calcul à vérifier",IF(AND(R35&lt;&gt;"Payé",C35&lt;'Paramètres'!$B$6,C35&lt;&gt;""),"Échéance dépassée","OK"))))))</f>
        <v/>
      </c>
      <c r="Y35" s="16" t="n"/>
    </row>
    <row r="36">
      <c r="A36" s="16" t="n"/>
      <c r="B36" s="17" t="n"/>
      <c r="C36" s="17" t="n"/>
      <c r="D36" s="16" t="n"/>
      <c r="E36" s="18">
        <f>IF(D36="","",IFERROR(VLOOKUP(D36,'Clients'!$A$4:$J$103,2,FALSE),"Client introuvable"))</f>
        <v/>
      </c>
      <c r="F36" s="16" t="n"/>
      <c r="G36" s="16" t="n"/>
      <c r="H36" s="16" t="n"/>
      <c r="I36" s="19" t="n"/>
      <c r="J36" s="20">
        <f>IF(H36="","",IFERROR(VLOOKUP(H36,'Paramètres'!$A$12:$D$14,3,FALSE),0))</f>
        <v/>
      </c>
      <c r="K36" s="21">
        <f>IF(I36="","",ROUND(I36*J36,2))</f>
        <v/>
      </c>
      <c r="L36" s="20">
        <f>IF(H36="","",IFERROR(VLOOKUP(H36,'Paramètres'!$A$12:$D$14,4,FALSE),0))</f>
        <v/>
      </c>
      <c r="M36" s="21">
        <f>IF(I36="","",ROUND(I36*L36,2))</f>
        <v/>
      </c>
      <c r="N36" s="21">
        <f>IF(I36="","",ROUND(I36+K36+M36,2))</f>
        <v/>
      </c>
      <c r="O36" s="19" t="n"/>
      <c r="P36" s="17" t="n"/>
      <c r="Q36" s="16" t="n"/>
      <c r="R36" s="18">
        <f>IF(A36="","",IF(O36&lt;=0,"Non payé",IF(O36&lt;N36,"Partiellement payé",IF(O36&gt;N36,"À vérifier","Payé"))))</f>
        <v/>
      </c>
      <c r="S36" s="21">
        <f>IF(A36="","",ROUND(N36-O36,2))</f>
        <v/>
      </c>
      <c r="T36" s="21">
        <f>IF(A36="","",IFERROR(MIN(I36,ROUND(O36/N36*I36,2)),0))</f>
        <v/>
      </c>
      <c r="U36" s="21">
        <f>IF(A36="","",IFERROR(ROUND(O36/N36*K36,2),0))</f>
        <v/>
      </c>
      <c r="V36" s="21">
        <f>IF(A36="","",IFERROR(ROUND(O36/N36*M36,2),0))</f>
        <v/>
      </c>
      <c r="W36" s="21">
        <f>IF(A36="","",ROUND(N36-(I36+K36+M36),2))</f>
        <v/>
      </c>
      <c r="X36" s="18">
        <f>IF(A36="","",IF(E36="Client introuvable","Code client introuvable",IF(O36&gt;N36,"Encaissement supérieur au total",IF(AND(C36&lt;B36,C36&lt;&gt;""),"Date d’échéance invalide",IF(MAX(W36,-W36)&gt;0.01,"Écart de calcul à vérifier",IF(AND(R36&lt;&gt;"Payé",C36&lt;'Paramètres'!$B$6,C36&lt;&gt;""),"Échéance dépassée","OK"))))))</f>
        <v/>
      </c>
      <c r="Y36" s="16" t="n"/>
    </row>
    <row r="37">
      <c r="A37" s="16" t="n"/>
      <c r="B37" s="17" t="n"/>
      <c r="C37" s="17" t="n"/>
      <c r="D37" s="16" t="n"/>
      <c r="E37" s="18">
        <f>IF(D37="","",IFERROR(VLOOKUP(D37,'Clients'!$A$4:$J$103,2,FALSE),"Client introuvable"))</f>
        <v/>
      </c>
      <c r="F37" s="16" t="n"/>
      <c r="G37" s="16" t="n"/>
      <c r="H37" s="16" t="n"/>
      <c r="I37" s="19" t="n"/>
      <c r="J37" s="20">
        <f>IF(H37="","",IFERROR(VLOOKUP(H37,'Paramètres'!$A$12:$D$14,3,FALSE),0))</f>
        <v/>
      </c>
      <c r="K37" s="21">
        <f>IF(I37="","",ROUND(I37*J37,2))</f>
        <v/>
      </c>
      <c r="L37" s="20">
        <f>IF(H37="","",IFERROR(VLOOKUP(H37,'Paramètres'!$A$12:$D$14,4,FALSE),0))</f>
        <v/>
      </c>
      <c r="M37" s="21">
        <f>IF(I37="","",ROUND(I37*L37,2))</f>
        <v/>
      </c>
      <c r="N37" s="21">
        <f>IF(I37="","",ROUND(I37+K37+M37,2))</f>
        <v/>
      </c>
      <c r="O37" s="19" t="n"/>
      <c r="P37" s="17" t="n"/>
      <c r="Q37" s="16" t="n"/>
      <c r="R37" s="18">
        <f>IF(A37="","",IF(O37&lt;=0,"Non payé",IF(O37&lt;N37,"Partiellement payé",IF(O37&gt;N37,"À vérifier","Payé"))))</f>
        <v/>
      </c>
      <c r="S37" s="21">
        <f>IF(A37="","",ROUND(N37-O37,2))</f>
        <v/>
      </c>
      <c r="T37" s="21">
        <f>IF(A37="","",IFERROR(MIN(I37,ROUND(O37/N37*I37,2)),0))</f>
        <v/>
      </c>
      <c r="U37" s="21">
        <f>IF(A37="","",IFERROR(ROUND(O37/N37*K37,2),0))</f>
        <v/>
      </c>
      <c r="V37" s="21">
        <f>IF(A37="","",IFERROR(ROUND(O37/N37*M37,2),0))</f>
        <v/>
      </c>
      <c r="W37" s="21">
        <f>IF(A37="","",ROUND(N37-(I37+K37+M37),2))</f>
        <v/>
      </c>
      <c r="X37" s="18">
        <f>IF(A37="","",IF(E37="Client introuvable","Code client introuvable",IF(O37&gt;N37,"Encaissement supérieur au total",IF(AND(C37&lt;B37,C37&lt;&gt;""),"Date d’échéance invalide",IF(MAX(W37,-W37)&gt;0.01,"Écart de calcul à vérifier",IF(AND(R37&lt;&gt;"Payé",C37&lt;'Paramètres'!$B$6,C37&lt;&gt;""),"Échéance dépassée","OK"))))))</f>
        <v/>
      </c>
      <c r="Y37" s="16" t="n"/>
    </row>
    <row r="38">
      <c r="A38" s="16" t="n"/>
      <c r="B38" s="17" t="n"/>
      <c r="C38" s="17" t="n"/>
      <c r="D38" s="16" t="n"/>
      <c r="E38" s="18">
        <f>IF(D38="","",IFERROR(VLOOKUP(D38,'Clients'!$A$4:$J$103,2,FALSE),"Client introuvable"))</f>
        <v/>
      </c>
      <c r="F38" s="16" t="n"/>
      <c r="G38" s="16" t="n"/>
      <c r="H38" s="16" t="n"/>
      <c r="I38" s="19" t="n"/>
      <c r="J38" s="20">
        <f>IF(H38="","",IFERROR(VLOOKUP(H38,'Paramètres'!$A$12:$D$14,3,FALSE),0))</f>
        <v/>
      </c>
      <c r="K38" s="21">
        <f>IF(I38="","",ROUND(I38*J38,2))</f>
        <v/>
      </c>
      <c r="L38" s="20">
        <f>IF(H38="","",IFERROR(VLOOKUP(H38,'Paramètres'!$A$12:$D$14,4,FALSE),0))</f>
        <v/>
      </c>
      <c r="M38" s="21">
        <f>IF(I38="","",ROUND(I38*L38,2))</f>
        <v/>
      </c>
      <c r="N38" s="21">
        <f>IF(I38="","",ROUND(I38+K38+M38,2))</f>
        <v/>
      </c>
      <c r="O38" s="19" t="n"/>
      <c r="P38" s="17" t="n"/>
      <c r="Q38" s="16" t="n"/>
      <c r="R38" s="18">
        <f>IF(A38="","",IF(O38&lt;=0,"Non payé",IF(O38&lt;N38,"Partiellement payé",IF(O38&gt;N38,"À vérifier","Payé"))))</f>
        <v/>
      </c>
      <c r="S38" s="21">
        <f>IF(A38="","",ROUND(N38-O38,2))</f>
        <v/>
      </c>
      <c r="T38" s="21">
        <f>IF(A38="","",IFERROR(MIN(I38,ROUND(O38/N38*I38,2)),0))</f>
        <v/>
      </c>
      <c r="U38" s="21">
        <f>IF(A38="","",IFERROR(ROUND(O38/N38*K38,2),0))</f>
        <v/>
      </c>
      <c r="V38" s="21">
        <f>IF(A38="","",IFERROR(ROUND(O38/N38*M38,2),0))</f>
        <v/>
      </c>
      <c r="W38" s="21">
        <f>IF(A38="","",ROUND(N38-(I38+K38+M38),2))</f>
        <v/>
      </c>
      <c r="X38" s="18">
        <f>IF(A38="","",IF(E38="Client introuvable","Code client introuvable",IF(O38&gt;N38,"Encaissement supérieur au total",IF(AND(C38&lt;B38,C38&lt;&gt;""),"Date d’échéance invalide",IF(MAX(W38,-W38)&gt;0.01,"Écart de calcul à vérifier",IF(AND(R38&lt;&gt;"Payé",C38&lt;'Paramètres'!$B$6,C38&lt;&gt;""),"Échéance dépassée","OK"))))))</f>
        <v/>
      </c>
      <c r="Y38" s="16" t="n"/>
    </row>
    <row r="39">
      <c r="A39" s="16" t="n"/>
      <c r="B39" s="17" t="n"/>
      <c r="C39" s="17" t="n"/>
      <c r="D39" s="16" t="n"/>
      <c r="E39" s="18">
        <f>IF(D39="","",IFERROR(VLOOKUP(D39,'Clients'!$A$4:$J$103,2,FALSE),"Client introuvable"))</f>
        <v/>
      </c>
      <c r="F39" s="16" t="n"/>
      <c r="G39" s="16" t="n"/>
      <c r="H39" s="16" t="n"/>
      <c r="I39" s="19" t="n"/>
      <c r="J39" s="20">
        <f>IF(H39="","",IFERROR(VLOOKUP(H39,'Paramètres'!$A$12:$D$14,3,FALSE),0))</f>
        <v/>
      </c>
      <c r="K39" s="21">
        <f>IF(I39="","",ROUND(I39*J39,2))</f>
        <v/>
      </c>
      <c r="L39" s="20">
        <f>IF(H39="","",IFERROR(VLOOKUP(H39,'Paramètres'!$A$12:$D$14,4,FALSE),0))</f>
        <v/>
      </c>
      <c r="M39" s="21">
        <f>IF(I39="","",ROUND(I39*L39,2))</f>
        <v/>
      </c>
      <c r="N39" s="21">
        <f>IF(I39="","",ROUND(I39+K39+M39,2))</f>
        <v/>
      </c>
      <c r="O39" s="19" t="n"/>
      <c r="P39" s="17" t="n"/>
      <c r="Q39" s="16" t="n"/>
      <c r="R39" s="18">
        <f>IF(A39="","",IF(O39&lt;=0,"Non payé",IF(O39&lt;N39,"Partiellement payé",IF(O39&gt;N39,"À vérifier","Payé"))))</f>
        <v/>
      </c>
      <c r="S39" s="21">
        <f>IF(A39="","",ROUND(N39-O39,2))</f>
        <v/>
      </c>
      <c r="T39" s="21">
        <f>IF(A39="","",IFERROR(MIN(I39,ROUND(O39/N39*I39,2)),0))</f>
        <v/>
      </c>
      <c r="U39" s="21">
        <f>IF(A39="","",IFERROR(ROUND(O39/N39*K39,2),0))</f>
        <v/>
      </c>
      <c r="V39" s="21">
        <f>IF(A39="","",IFERROR(ROUND(O39/N39*M39,2),0))</f>
        <v/>
      </c>
      <c r="W39" s="21">
        <f>IF(A39="","",ROUND(N39-(I39+K39+M39),2))</f>
        <v/>
      </c>
      <c r="X39" s="18">
        <f>IF(A39="","",IF(E39="Client introuvable","Code client introuvable",IF(O39&gt;N39,"Encaissement supérieur au total",IF(AND(C39&lt;B39,C39&lt;&gt;""),"Date d’échéance invalide",IF(MAX(W39,-W39)&gt;0.01,"Écart de calcul à vérifier",IF(AND(R39&lt;&gt;"Payé",C39&lt;'Paramètres'!$B$6,C39&lt;&gt;""),"Échéance dépassée","OK"))))))</f>
        <v/>
      </c>
      <c r="Y39" s="16" t="n"/>
    </row>
    <row r="40">
      <c r="A40" s="16" t="n"/>
      <c r="B40" s="17" t="n"/>
      <c r="C40" s="17" t="n"/>
      <c r="D40" s="16" t="n"/>
      <c r="E40" s="18">
        <f>IF(D40="","",IFERROR(VLOOKUP(D40,'Clients'!$A$4:$J$103,2,FALSE),"Client introuvable"))</f>
        <v/>
      </c>
      <c r="F40" s="16" t="n"/>
      <c r="G40" s="16" t="n"/>
      <c r="H40" s="16" t="n"/>
      <c r="I40" s="19" t="n"/>
      <c r="J40" s="20">
        <f>IF(H40="","",IFERROR(VLOOKUP(H40,'Paramètres'!$A$12:$D$14,3,FALSE),0))</f>
        <v/>
      </c>
      <c r="K40" s="21">
        <f>IF(I40="","",ROUND(I40*J40,2))</f>
        <v/>
      </c>
      <c r="L40" s="20">
        <f>IF(H40="","",IFERROR(VLOOKUP(H40,'Paramètres'!$A$12:$D$14,4,FALSE),0))</f>
        <v/>
      </c>
      <c r="M40" s="21">
        <f>IF(I40="","",ROUND(I40*L40,2))</f>
        <v/>
      </c>
      <c r="N40" s="21">
        <f>IF(I40="","",ROUND(I40+K40+M40,2))</f>
        <v/>
      </c>
      <c r="O40" s="19" t="n"/>
      <c r="P40" s="17" t="n"/>
      <c r="Q40" s="16" t="n"/>
      <c r="R40" s="18">
        <f>IF(A40="","",IF(O40&lt;=0,"Non payé",IF(O40&lt;N40,"Partiellement payé",IF(O40&gt;N40,"À vérifier","Payé"))))</f>
        <v/>
      </c>
      <c r="S40" s="21">
        <f>IF(A40="","",ROUND(N40-O40,2))</f>
        <v/>
      </c>
      <c r="T40" s="21">
        <f>IF(A40="","",IFERROR(MIN(I40,ROUND(O40/N40*I40,2)),0))</f>
        <v/>
      </c>
      <c r="U40" s="21">
        <f>IF(A40="","",IFERROR(ROUND(O40/N40*K40,2),0))</f>
        <v/>
      </c>
      <c r="V40" s="21">
        <f>IF(A40="","",IFERROR(ROUND(O40/N40*M40,2),0))</f>
        <v/>
      </c>
      <c r="W40" s="21">
        <f>IF(A40="","",ROUND(N40-(I40+K40+M40),2))</f>
        <v/>
      </c>
      <c r="X40" s="18">
        <f>IF(A40="","",IF(E40="Client introuvable","Code client introuvable",IF(O40&gt;N40,"Encaissement supérieur au total",IF(AND(C40&lt;B40,C40&lt;&gt;""),"Date d’échéance invalide",IF(MAX(W40,-W40)&gt;0.01,"Écart de calcul à vérifier",IF(AND(R40&lt;&gt;"Payé",C40&lt;'Paramètres'!$B$6,C40&lt;&gt;""),"Échéance dépassée","OK"))))))</f>
        <v/>
      </c>
      <c r="Y40" s="16" t="n"/>
    </row>
    <row r="41">
      <c r="A41" s="16" t="n"/>
      <c r="B41" s="17" t="n"/>
      <c r="C41" s="17" t="n"/>
      <c r="D41" s="16" t="n"/>
      <c r="E41" s="18">
        <f>IF(D41="","",IFERROR(VLOOKUP(D41,'Clients'!$A$4:$J$103,2,FALSE),"Client introuvable"))</f>
        <v/>
      </c>
      <c r="F41" s="16" t="n"/>
      <c r="G41" s="16" t="n"/>
      <c r="H41" s="16" t="n"/>
      <c r="I41" s="19" t="n"/>
      <c r="J41" s="20">
        <f>IF(H41="","",IFERROR(VLOOKUP(H41,'Paramètres'!$A$12:$D$14,3,FALSE),0))</f>
        <v/>
      </c>
      <c r="K41" s="21">
        <f>IF(I41="","",ROUND(I41*J41,2))</f>
        <v/>
      </c>
      <c r="L41" s="20">
        <f>IF(H41="","",IFERROR(VLOOKUP(H41,'Paramètres'!$A$12:$D$14,4,FALSE),0))</f>
        <v/>
      </c>
      <c r="M41" s="21">
        <f>IF(I41="","",ROUND(I41*L41,2))</f>
        <v/>
      </c>
      <c r="N41" s="21">
        <f>IF(I41="","",ROUND(I41+K41+M41,2))</f>
        <v/>
      </c>
      <c r="O41" s="19" t="n"/>
      <c r="P41" s="17" t="n"/>
      <c r="Q41" s="16" t="n"/>
      <c r="R41" s="18">
        <f>IF(A41="","",IF(O41&lt;=0,"Non payé",IF(O41&lt;N41,"Partiellement payé",IF(O41&gt;N41,"À vérifier","Payé"))))</f>
        <v/>
      </c>
      <c r="S41" s="21">
        <f>IF(A41="","",ROUND(N41-O41,2))</f>
        <v/>
      </c>
      <c r="T41" s="21">
        <f>IF(A41="","",IFERROR(MIN(I41,ROUND(O41/N41*I41,2)),0))</f>
        <v/>
      </c>
      <c r="U41" s="21">
        <f>IF(A41="","",IFERROR(ROUND(O41/N41*K41,2),0))</f>
        <v/>
      </c>
      <c r="V41" s="21">
        <f>IF(A41="","",IFERROR(ROUND(O41/N41*M41,2),0))</f>
        <v/>
      </c>
      <c r="W41" s="21">
        <f>IF(A41="","",ROUND(N41-(I41+K41+M41),2))</f>
        <v/>
      </c>
      <c r="X41" s="18">
        <f>IF(A41="","",IF(E41="Client introuvable","Code client introuvable",IF(O41&gt;N41,"Encaissement supérieur au total",IF(AND(C41&lt;B41,C41&lt;&gt;""),"Date d’échéance invalide",IF(MAX(W41,-W41)&gt;0.01,"Écart de calcul à vérifier",IF(AND(R41&lt;&gt;"Payé",C41&lt;'Paramètres'!$B$6,C41&lt;&gt;""),"Échéance dépassée","OK"))))))</f>
        <v/>
      </c>
      <c r="Y41" s="16" t="n"/>
    </row>
    <row r="42">
      <c r="A42" s="16" t="n"/>
      <c r="B42" s="17" t="n"/>
      <c r="C42" s="17" t="n"/>
      <c r="D42" s="16" t="n"/>
      <c r="E42" s="18">
        <f>IF(D42="","",IFERROR(VLOOKUP(D42,'Clients'!$A$4:$J$103,2,FALSE),"Client introuvable"))</f>
        <v/>
      </c>
      <c r="F42" s="16" t="n"/>
      <c r="G42" s="16" t="n"/>
      <c r="H42" s="16" t="n"/>
      <c r="I42" s="19" t="n"/>
      <c r="J42" s="20">
        <f>IF(H42="","",IFERROR(VLOOKUP(H42,'Paramètres'!$A$12:$D$14,3,FALSE),0))</f>
        <v/>
      </c>
      <c r="K42" s="21">
        <f>IF(I42="","",ROUND(I42*J42,2))</f>
        <v/>
      </c>
      <c r="L42" s="20">
        <f>IF(H42="","",IFERROR(VLOOKUP(H42,'Paramètres'!$A$12:$D$14,4,FALSE),0))</f>
        <v/>
      </c>
      <c r="M42" s="21">
        <f>IF(I42="","",ROUND(I42*L42,2))</f>
        <v/>
      </c>
      <c r="N42" s="21">
        <f>IF(I42="","",ROUND(I42+K42+M42,2))</f>
        <v/>
      </c>
      <c r="O42" s="19" t="n"/>
      <c r="P42" s="17" t="n"/>
      <c r="Q42" s="16" t="n"/>
      <c r="R42" s="18">
        <f>IF(A42="","",IF(O42&lt;=0,"Non payé",IF(O42&lt;N42,"Partiellement payé",IF(O42&gt;N42,"À vérifier","Payé"))))</f>
        <v/>
      </c>
      <c r="S42" s="21">
        <f>IF(A42="","",ROUND(N42-O42,2))</f>
        <v/>
      </c>
      <c r="T42" s="21">
        <f>IF(A42="","",IFERROR(MIN(I42,ROUND(O42/N42*I42,2)),0))</f>
        <v/>
      </c>
      <c r="U42" s="21">
        <f>IF(A42="","",IFERROR(ROUND(O42/N42*K42,2),0))</f>
        <v/>
      </c>
      <c r="V42" s="21">
        <f>IF(A42="","",IFERROR(ROUND(O42/N42*M42,2),0))</f>
        <v/>
      </c>
      <c r="W42" s="21">
        <f>IF(A42="","",ROUND(N42-(I42+K42+M42),2))</f>
        <v/>
      </c>
      <c r="X42" s="18">
        <f>IF(A42="","",IF(E42="Client introuvable","Code client introuvable",IF(O42&gt;N42,"Encaissement supérieur au total",IF(AND(C42&lt;B42,C42&lt;&gt;""),"Date d’échéance invalide",IF(MAX(W42,-W42)&gt;0.01,"Écart de calcul à vérifier",IF(AND(R42&lt;&gt;"Payé",C42&lt;'Paramètres'!$B$6,C42&lt;&gt;""),"Échéance dépassée","OK"))))))</f>
        <v/>
      </c>
      <c r="Y42" s="16" t="n"/>
    </row>
    <row r="43">
      <c r="A43" s="16" t="n"/>
      <c r="B43" s="17" t="n"/>
      <c r="C43" s="17" t="n"/>
      <c r="D43" s="16" t="n"/>
      <c r="E43" s="18">
        <f>IF(D43="","",IFERROR(VLOOKUP(D43,'Clients'!$A$4:$J$103,2,FALSE),"Client introuvable"))</f>
        <v/>
      </c>
      <c r="F43" s="16" t="n"/>
      <c r="G43" s="16" t="n"/>
      <c r="H43" s="16" t="n"/>
      <c r="I43" s="19" t="n"/>
      <c r="J43" s="20">
        <f>IF(H43="","",IFERROR(VLOOKUP(H43,'Paramètres'!$A$12:$D$14,3,FALSE),0))</f>
        <v/>
      </c>
      <c r="K43" s="21">
        <f>IF(I43="","",ROUND(I43*J43,2))</f>
        <v/>
      </c>
      <c r="L43" s="20">
        <f>IF(H43="","",IFERROR(VLOOKUP(H43,'Paramètres'!$A$12:$D$14,4,FALSE),0))</f>
        <v/>
      </c>
      <c r="M43" s="21">
        <f>IF(I43="","",ROUND(I43*L43,2))</f>
        <v/>
      </c>
      <c r="N43" s="21">
        <f>IF(I43="","",ROUND(I43+K43+M43,2))</f>
        <v/>
      </c>
      <c r="O43" s="19" t="n"/>
      <c r="P43" s="17" t="n"/>
      <c r="Q43" s="16" t="n"/>
      <c r="R43" s="18">
        <f>IF(A43="","",IF(O43&lt;=0,"Non payé",IF(O43&lt;N43,"Partiellement payé",IF(O43&gt;N43,"À vérifier","Payé"))))</f>
        <v/>
      </c>
      <c r="S43" s="21">
        <f>IF(A43="","",ROUND(N43-O43,2))</f>
        <v/>
      </c>
      <c r="T43" s="21">
        <f>IF(A43="","",IFERROR(MIN(I43,ROUND(O43/N43*I43,2)),0))</f>
        <v/>
      </c>
      <c r="U43" s="21">
        <f>IF(A43="","",IFERROR(ROUND(O43/N43*K43,2),0))</f>
        <v/>
      </c>
      <c r="V43" s="21">
        <f>IF(A43="","",IFERROR(ROUND(O43/N43*M43,2),0))</f>
        <v/>
      </c>
      <c r="W43" s="21">
        <f>IF(A43="","",ROUND(N43-(I43+K43+M43),2))</f>
        <v/>
      </c>
      <c r="X43" s="18">
        <f>IF(A43="","",IF(E43="Client introuvable","Code client introuvable",IF(O43&gt;N43,"Encaissement supérieur au total",IF(AND(C43&lt;B43,C43&lt;&gt;""),"Date d’échéance invalide",IF(MAX(W43,-W43)&gt;0.01,"Écart de calcul à vérifier",IF(AND(R43&lt;&gt;"Payé",C43&lt;'Paramètres'!$B$6,C43&lt;&gt;""),"Échéance dépassée","OK"))))))</f>
        <v/>
      </c>
      <c r="Y43" s="16" t="n"/>
    </row>
    <row r="44">
      <c r="A44" s="16" t="n"/>
      <c r="B44" s="17" t="n"/>
      <c r="C44" s="17" t="n"/>
      <c r="D44" s="16" t="n"/>
      <c r="E44" s="18">
        <f>IF(D44="","",IFERROR(VLOOKUP(D44,'Clients'!$A$4:$J$103,2,FALSE),"Client introuvable"))</f>
        <v/>
      </c>
      <c r="F44" s="16" t="n"/>
      <c r="G44" s="16" t="n"/>
      <c r="H44" s="16" t="n"/>
      <c r="I44" s="19" t="n"/>
      <c r="J44" s="20">
        <f>IF(H44="","",IFERROR(VLOOKUP(H44,'Paramètres'!$A$12:$D$14,3,FALSE),0))</f>
        <v/>
      </c>
      <c r="K44" s="21">
        <f>IF(I44="","",ROUND(I44*J44,2))</f>
        <v/>
      </c>
      <c r="L44" s="20">
        <f>IF(H44="","",IFERROR(VLOOKUP(H44,'Paramètres'!$A$12:$D$14,4,FALSE),0))</f>
        <v/>
      </c>
      <c r="M44" s="21">
        <f>IF(I44="","",ROUND(I44*L44,2))</f>
        <v/>
      </c>
      <c r="N44" s="21">
        <f>IF(I44="","",ROUND(I44+K44+M44,2))</f>
        <v/>
      </c>
      <c r="O44" s="19" t="n"/>
      <c r="P44" s="17" t="n"/>
      <c r="Q44" s="16" t="n"/>
      <c r="R44" s="18">
        <f>IF(A44="","",IF(O44&lt;=0,"Non payé",IF(O44&lt;N44,"Partiellement payé",IF(O44&gt;N44,"À vérifier","Payé"))))</f>
        <v/>
      </c>
      <c r="S44" s="21">
        <f>IF(A44="","",ROUND(N44-O44,2))</f>
        <v/>
      </c>
      <c r="T44" s="21">
        <f>IF(A44="","",IFERROR(MIN(I44,ROUND(O44/N44*I44,2)),0))</f>
        <v/>
      </c>
      <c r="U44" s="21">
        <f>IF(A44="","",IFERROR(ROUND(O44/N44*K44,2),0))</f>
        <v/>
      </c>
      <c r="V44" s="21">
        <f>IF(A44="","",IFERROR(ROUND(O44/N44*M44,2),0))</f>
        <v/>
      </c>
      <c r="W44" s="21">
        <f>IF(A44="","",ROUND(N44-(I44+K44+M44),2))</f>
        <v/>
      </c>
      <c r="X44" s="18">
        <f>IF(A44="","",IF(E44="Client introuvable","Code client introuvable",IF(O44&gt;N44,"Encaissement supérieur au total",IF(AND(C44&lt;B44,C44&lt;&gt;""),"Date d’échéance invalide",IF(MAX(W44,-W44)&gt;0.01,"Écart de calcul à vérifier",IF(AND(R44&lt;&gt;"Payé",C44&lt;'Paramètres'!$B$6,C44&lt;&gt;""),"Échéance dépassée","OK"))))))</f>
        <v/>
      </c>
      <c r="Y44" s="16" t="n"/>
    </row>
    <row r="45">
      <c r="A45" s="16" t="n"/>
      <c r="B45" s="17" t="n"/>
      <c r="C45" s="17" t="n"/>
      <c r="D45" s="16" t="n"/>
      <c r="E45" s="18">
        <f>IF(D45="","",IFERROR(VLOOKUP(D45,'Clients'!$A$4:$J$103,2,FALSE),"Client introuvable"))</f>
        <v/>
      </c>
      <c r="F45" s="16" t="n"/>
      <c r="G45" s="16" t="n"/>
      <c r="H45" s="16" t="n"/>
      <c r="I45" s="19" t="n"/>
      <c r="J45" s="20">
        <f>IF(H45="","",IFERROR(VLOOKUP(H45,'Paramètres'!$A$12:$D$14,3,FALSE),0))</f>
        <v/>
      </c>
      <c r="K45" s="21">
        <f>IF(I45="","",ROUND(I45*J45,2))</f>
        <v/>
      </c>
      <c r="L45" s="20">
        <f>IF(H45="","",IFERROR(VLOOKUP(H45,'Paramètres'!$A$12:$D$14,4,FALSE),0))</f>
        <v/>
      </c>
      <c r="M45" s="21">
        <f>IF(I45="","",ROUND(I45*L45,2))</f>
        <v/>
      </c>
      <c r="N45" s="21">
        <f>IF(I45="","",ROUND(I45+K45+M45,2))</f>
        <v/>
      </c>
      <c r="O45" s="19" t="n"/>
      <c r="P45" s="17" t="n"/>
      <c r="Q45" s="16" t="n"/>
      <c r="R45" s="18">
        <f>IF(A45="","",IF(O45&lt;=0,"Non payé",IF(O45&lt;N45,"Partiellement payé",IF(O45&gt;N45,"À vérifier","Payé"))))</f>
        <v/>
      </c>
      <c r="S45" s="21">
        <f>IF(A45="","",ROUND(N45-O45,2))</f>
        <v/>
      </c>
      <c r="T45" s="21">
        <f>IF(A45="","",IFERROR(MIN(I45,ROUND(O45/N45*I45,2)),0))</f>
        <v/>
      </c>
      <c r="U45" s="21">
        <f>IF(A45="","",IFERROR(ROUND(O45/N45*K45,2),0))</f>
        <v/>
      </c>
      <c r="V45" s="21">
        <f>IF(A45="","",IFERROR(ROUND(O45/N45*M45,2),0))</f>
        <v/>
      </c>
      <c r="W45" s="21">
        <f>IF(A45="","",ROUND(N45-(I45+K45+M45),2))</f>
        <v/>
      </c>
      <c r="X45" s="18">
        <f>IF(A45="","",IF(E45="Client introuvable","Code client introuvable",IF(O45&gt;N45,"Encaissement supérieur au total",IF(AND(C45&lt;B45,C45&lt;&gt;""),"Date d’échéance invalide",IF(MAX(W45,-W45)&gt;0.01,"Écart de calcul à vérifier",IF(AND(R45&lt;&gt;"Payé",C45&lt;'Paramètres'!$B$6,C45&lt;&gt;""),"Échéance dépassée","OK"))))))</f>
        <v/>
      </c>
      <c r="Y45" s="16" t="n"/>
    </row>
    <row r="46">
      <c r="A46" s="16" t="n"/>
      <c r="B46" s="17" t="n"/>
      <c r="C46" s="17" t="n"/>
      <c r="D46" s="16" t="n"/>
      <c r="E46" s="18">
        <f>IF(D46="","",IFERROR(VLOOKUP(D46,'Clients'!$A$4:$J$103,2,FALSE),"Client introuvable"))</f>
        <v/>
      </c>
      <c r="F46" s="16" t="n"/>
      <c r="G46" s="16" t="n"/>
      <c r="H46" s="16" t="n"/>
      <c r="I46" s="19" t="n"/>
      <c r="J46" s="20">
        <f>IF(H46="","",IFERROR(VLOOKUP(H46,'Paramètres'!$A$12:$D$14,3,FALSE),0))</f>
        <v/>
      </c>
      <c r="K46" s="21">
        <f>IF(I46="","",ROUND(I46*J46,2))</f>
        <v/>
      </c>
      <c r="L46" s="20">
        <f>IF(H46="","",IFERROR(VLOOKUP(H46,'Paramètres'!$A$12:$D$14,4,FALSE),0))</f>
        <v/>
      </c>
      <c r="M46" s="21">
        <f>IF(I46="","",ROUND(I46*L46,2))</f>
        <v/>
      </c>
      <c r="N46" s="21">
        <f>IF(I46="","",ROUND(I46+K46+M46,2))</f>
        <v/>
      </c>
      <c r="O46" s="19" t="n"/>
      <c r="P46" s="17" t="n"/>
      <c r="Q46" s="16" t="n"/>
      <c r="R46" s="18">
        <f>IF(A46="","",IF(O46&lt;=0,"Non payé",IF(O46&lt;N46,"Partiellement payé",IF(O46&gt;N46,"À vérifier","Payé"))))</f>
        <v/>
      </c>
      <c r="S46" s="21">
        <f>IF(A46="","",ROUND(N46-O46,2))</f>
        <v/>
      </c>
      <c r="T46" s="21">
        <f>IF(A46="","",IFERROR(MIN(I46,ROUND(O46/N46*I46,2)),0))</f>
        <v/>
      </c>
      <c r="U46" s="21">
        <f>IF(A46="","",IFERROR(ROUND(O46/N46*K46,2),0))</f>
        <v/>
      </c>
      <c r="V46" s="21">
        <f>IF(A46="","",IFERROR(ROUND(O46/N46*M46,2),0))</f>
        <v/>
      </c>
      <c r="W46" s="21">
        <f>IF(A46="","",ROUND(N46-(I46+K46+M46),2))</f>
        <v/>
      </c>
      <c r="X46" s="18">
        <f>IF(A46="","",IF(E46="Client introuvable","Code client introuvable",IF(O46&gt;N46,"Encaissement supérieur au total",IF(AND(C46&lt;B46,C46&lt;&gt;""),"Date d’échéance invalide",IF(MAX(W46,-W46)&gt;0.01,"Écart de calcul à vérifier",IF(AND(R46&lt;&gt;"Payé",C46&lt;'Paramètres'!$B$6,C46&lt;&gt;""),"Échéance dépassée","OK"))))))</f>
        <v/>
      </c>
      <c r="Y46" s="16" t="n"/>
    </row>
    <row r="47">
      <c r="A47" s="16" t="n"/>
      <c r="B47" s="17" t="n"/>
      <c r="C47" s="17" t="n"/>
      <c r="D47" s="16" t="n"/>
      <c r="E47" s="18">
        <f>IF(D47="","",IFERROR(VLOOKUP(D47,'Clients'!$A$4:$J$103,2,FALSE),"Client introuvable"))</f>
        <v/>
      </c>
      <c r="F47" s="16" t="n"/>
      <c r="G47" s="16" t="n"/>
      <c r="H47" s="16" t="n"/>
      <c r="I47" s="19" t="n"/>
      <c r="J47" s="20">
        <f>IF(H47="","",IFERROR(VLOOKUP(H47,'Paramètres'!$A$12:$D$14,3,FALSE),0))</f>
        <v/>
      </c>
      <c r="K47" s="21">
        <f>IF(I47="","",ROUND(I47*J47,2))</f>
        <v/>
      </c>
      <c r="L47" s="20">
        <f>IF(H47="","",IFERROR(VLOOKUP(H47,'Paramètres'!$A$12:$D$14,4,FALSE),0))</f>
        <v/>
      </c>
      <c r="M47" s="21">
        <f>IF(I47="","",ROUND(I47*L47,2))</f>
        <v/>
      </c>
      <c r="N47" s="21">
        <f>IF(I47="","",ROUND(I47+K47+M47,2))</f>
        <v/>
      </c>
      <c r="O47" s="19" t="n"/>
      <c r="P47" s="17" t="n"/>
      <c r="Q47" s="16" t="n"/>
      <c r="R47" s="18">
        <f>IF(A47="","",IF(O47&lt;=0,"Non payé",IF(O47&lt;N47,"Partiellement payé",IF(O47&gt;N47,"À vérifier","Payé"))))</f>
        <v/>
      </c>
      <c r="S47" s="21">
        <f>IF(A47="","",ROUND(N47-O47,2))</f>
        <v/>
      </c>
      <c r="T47" s="21">
        <f>IF(A47="","",IFERROR(MIN(I47,ROUND(O47/N47*I47,2)),0))</f>
        <v/>
      </c>
      <c r="U47" s="21">
        <f>IF(A47="","",IFERROR(ROUND(O47/N47*K47,2),0))</f>
        <v/>
      </c>
      <c r="V47" s="21">
        <f>IF(A47="","",IFERROR(ROUND(O47/N47*M47,2),0))</f>
        <v/>
      </c>
      <c r="W47" s="21">
        <f>IF(A47="","",ROUND(N47-(I47+K47+M47),2))</f>
        <v/>
      </c>
      <c r="X47" s="18">
        <f>IF(A47="","",IF(E47="Client introuvable","Code client introuvable",IF(O47&gt;N47,"Encaissement supérieur au total",IF(AND(C47&lt;B47,C47&lt;&gt;""),"Date d’échéance invalide",IF(MAX(W47,-W47)&gt;0.01,"Écart de calcul à vérifier",IF(AND(R47&lt;&gt;"Payé",C47&lt;'Paramètres'!$B$6,C47&lt;&gt;""),"Échéance dépassée","OK"))))))</f>
        <v/>
      </c>
      <c r="Y47" s="16" t="n"/>
    </row>
    <row r="48">
      <c r="A48" s="16" t="n"/>
      <c r="B48" s="17" t="n"/>
      <c r="C48" s="17" t="n"/>
      <c r="D48" s="16" t="n"/>
      <c r="E48" s="18">
        <f>IF(D48="","",IFERROR(VLOOKUP(D48,'Clients'!$A$4:$J$103,2,FALSE),"Client introuvable"))</f>
        <v/>
      </c>
      <c r="F48" s="16" t="n"/>
      <c r="G48" s="16" t="n"/>
      <c r="H48" s="16" t="n"/>
      <c r="I48" s="19" t="n"/>
      <c r="J48" s="20">
        <f>IF(H48="","",IFERROR(VLOOKUP(H48,'Paramètres'!$A$12:$D$14,3,FALSE),0))</f>
        <v/>
      </c>
      <c r="K48" s="21">
        <f>IF(I48="","",ROUND(I48*J48,2))</f>
        <v/>
      </c>
      <c r="L48" s="20">
        <f>IF(H48="","",IFERROR(VLOOKUP(H48,'Paramètres'!$A$12:$D$14,4,FALSE),0))</f>
        <v/>
      </c>
      <c r="M48" s="21">
        <f>IF(I48="","",ROUND(I48*L48,2))</f>
        <v/>
      </c>
      <c r="N48" s="21">
        <f>IF(I48="","",ROUND(I48+K48+M48,2))</f>
        <v/>
      </c>
      <c r="O48" s="19" t="n"/>
      <c r="P48" s="17" t="n"/>
      <c r="Q48" s="16" t="n"/>
      <c r="R48" s="18">
        <f>IF(A48="","",IF(O48&lt;=0,"Non payé",IF(O48&lt;N48,"Partiellement payé",IF(O48&gt;N48,"À vérifier","Payé"))))</f>
        <v/>
      </c>
      <c r="S48" s="21">
        <f>IF(A48="","",ROUND(N48-O48,2))</f>
        <v/>
      </c>
      <c r="T48" s="21">
        <f>IF(A48="","",IFERROR(MIN(I48,ROUND(O48/N48*I48,2)),0))</f>
        <v/>
      </c>
      <c r="U48" s="21">
        <f>IF(A48="","",IFERROR(ROUND(O48/N48*K48,2),0))</f>
        <v/>
      </c>
      <c r="V48" s="21">
        <f>IF(A48="","",IFERROR(ROUND(O48/N48*M48,2),0))</f>
        <v/>
      </c>
      <c r="W48" s="21">
        <f>IF(A48="","",ROUND(N48-(I48+K48+M48),2))</f>
        <v/>
      </c>
      <c r="X48" s="18">
        <f>IF(A48="","",IF(E48="Client introuvable","Code client introuvable",IF(O48&gt;N48,"Encaissement supérieur au total",IF(AND(C48&lt;B48,C48&lt;&gt;""),"Date d’échéance invalide",IF(MAX(W48,-W48)&gt;0.01,"Écart de calcul à vérifier",IF(AND(R48&lt;&gt;"Payé",C48&lt;'Paramètres'!$B$6,C48&lt;&gt;""),"Échéance dépassée","OK"))))))</f>
        <v/>
      </c>
      <c r="Y48" s="16" t="n"/>
    </row>
    <row r="49">
      <c r="A49" s="16" t="n"/>
      <c r="B49" s="17" t="n"/>
      <c r="C49" s="17" t="n"/>
      <c r="D49" s="16" t="n"/>
      <c r="E49" s="18">
        <f>IF(D49="","",IFERROR(VLOOKUP(D49,'Clients'!$A$4:$J$103,2,FALSE),"Client introuvable"))</f>
        <v/>
      </c>
      <c r="F49" s="16" t="n"/>
      <c r="G49" s="16" t="n"/>
      <c r="H49" s="16" t="n"/>
      <c r="I49" s="19" t="n"/>
      <c r="J49" s="20">
        <f>IF(H49="","",IFERROR(VLOOKUP(H49,'Paramètres'!$A$12:$D$14,3,FALSE),0))</f>
        <v/>
      </c>
      <c r="K49" s="21">
        <f>IF(I49="","",ROUND(I49*J49,2))</f>
        <v/>
      </c>
      <c r="L49" s="20">
        <f>IF(H49="","",IFERROR(VLOOKUP(H49,'Paramètres'!$A$12:$D$14,4,FALSE),0))</f>
        <v/>
      </c>
      <c r="M49" s="21">
        <f>IF(I49="","",ROUND(I49*L49,2))</f>
        <v/>
      </c>
      <c r="N49" s="21">
        <f>IF(I49="","",ROUND(I49+K49+M49,2))</f>
        <v/>
      </c>
      <c r="O49" s="19" t="n"/>
      <c r="P49" s="17" t="n"/>
      <c r="Q49" s="16" t="n"/>
      <c r="R49" s="18">
        <f>IF(A49="","",IF(O49&lt;=0,"Non payé",IF(O49&lt;N49,"Partiellement payé",IF(O49&gt;N49,"À vérifier","Payé"))))</f>
        <v/>
      </c>
      <c r="S49" s="21">
        <f>IF(A49="","",ROUND(N49-O49,2))</f>
        <v/>
      </c>
      <c r="T49" s="21">
        <f>IF(A49="","",IFERROR(MIN(I49,ROUND(O49/N49*I49,2)),0))</f>
        <v/>
      </c>
      <c r="U49" s="21">
        <f>IF(A49="","",IFERROR(ROUND(O49/N49*K49,2),0))</f>
        <v/>
      </c>
      <c r="V49" s="21">
        <f>IF(A49="","",IFERROR(ROUND(O49/N49*M49,2),0))</f>
        <v/>
      </c>
      <c r="W49" s="21">
        <f>IF(A49="","",ROUND(N49-(I49+K49+M49),2))</f>
        <v/>
      </c>
      <c r="X49" s="18">
        <f>IF(A49="","",IF(E49="Client introuvable","Code client introuvable",IF(O49&gt;N49,"Encaissement supérieur au total",IF(AND(C49&lt;B49,C49&lt;&gt;""),"Date d’échéance invalide",IF(MAX(W49,-W49)&gt;0.01,"Écart de calcul à vérifier",IF(AND(R49&lt;&gt;"Payé",C49&lt;'Paramètres'!$B$6,C49&lt;&gt;""),"Échéance dépassée","OK"))))))</f>
        <v/>
      </c>
      <c r="Y49" s="16" t="n"/>
    </row>
    <row r="50">
      <c r="A50" s="16" t="n"/>
      <c r="B50" s="17" t="n"/>
      <c r="C50" s="17" t="n"/>
      <c r="D50" s="16" t="n"/>
      <c r="E50" s="18">
        <f>IF(D50="","",IFERROR(VLOOKUP(D50,'Clients'!$A$4:$J$103,2,FALSE),"Client introuvable"))</f>
        <v/>
      </c>
      <c r="F50" s="16" t="n"/>
      <c r="G50" s="16" t="n"/>
      <c r="H50" s="16" t="n"/>
      <c r="I50" s="19" t="n"/>
      <c r="J50" s="20">
        <f>IF(H50="","",IFERROR(VLOOKUP(H50,'Paramètres'!$A$12:$D$14,3,FALSE),0))</f>
        <v/>
      </c>
      <c r="K50" s="21">
        <f>IF(I50="","",ROUND(I50*J50,2))</f>
        <v/>
      </c>
      <c r="L50" s="20">
        <f>IF(H50="","",IFERROR(VLOOKUP(H50,'Paramètres'!$A$12:$D$14,4,FALSE),0))</f>
        <v/>
      </c>
      <c r="M50" s="21">
        <f>IF(I50="","",ROUND(I50*L50,2))</f>
        <v/>
      </c>
      <c r="N50" s="21">
        <f>IF(I50="","",ROUND(I50+K50+M50,2))</f>
        <v/>
      </c>
      <c r="O50" s="19" t="n"/>
      <c r="P50" s="17" t="n"/>
      <c r="Q50" s="16" t="n"/>
      <c r="R50" s="18">
        <f>IF(A50="","",IF(O50&lt;=0,"Non payé",IF(O50&lt;N50,"Partiellement payé",IF(O50&gt;N50,"À vérifier","Payé"))))</f>
        <v/>
      </c>
      <c r="S50" s="21">
        <f>IF(A50="","",ROUND(N50-O50,2))</f>
        <v/>
      </c>
      <c r="T50" s="21">
        <f>IF(A50="","",IFERROR(MIN(I50,ROUND(O50/N50*I50,2)),0))</f>
        <v/>
      </c>
      <c r="U50" s="21">
        <f>IF(A50="","",IFERROR(ROUND(O50/N50*K50,2),0))</f>
        <v/>
      </c>
      <c r="V50" s="21">
        <f>IF(A50="","",IFERROR(ROUND(O50/N50*M50,2),0))</f>
        <v/>
      </c>
      <c r="W50" s="21">
        <f>IF(A50="","",ROUND(N50-(I50+K50+M50),2))</f>
        <v/>
      </c>
      <c r="X50" s="18">
        <f>IF(A50="","",IF(E50="Client introuvable","Code client introuvable",IF(O50&gt;N50,"Encaissement supérieur au total",IF(AND(C50&lt;B50,C50&lt;&gt;""),"Date d’échéance invalide",IF(MAX(W50,-W50)&gt;0.01,"Écart de calcul à vérifier",IF(AND(R50&lt;&gt;"Payé",C50&lt;'Paramètres'!$B$6,C50&lt;&gt;""),"Échéance dépassée","OK"))))))</f>
        <v/>
      </c>
      <c r="Y50" s="16" t="n"/>
    </row>
    <row r="51">
      <c r="A51" s="16" t="n"/>
      <c r="B51" s="17" t="n"/>
      <c r="C51" s="17" t="n"/>
      <c r="D51" s="16" t="n"/>
      <c r="E51" s="18">
        <f>IF(D51="","",IFERROR(VLOOKUP(D51,'Clients'!$A$4:$J$103,2,FALSE),"Client introuvable"))</f>
        <v/>
      </c>
      <c r="F51" s="16" t="n"/>
      <c r="G51" s="16" t="n"/>
      <c r="H51" s="16" t="n"/>
      <c r="I51" s="19" t="n"/>
      <c r="J51" s="20">
        <f>IF(H51="","",IFERROR(VLOOKUP(H51,'Paramètres'!$A$12:$D$14,3,FALSE),0))</f>
        <v/>
      </c>
      <c r="K51" s="21">
        <f>IF(I51="","",ROUND(I51*J51,2))</f>
        <v/>
      </c>
      <c r="L51" s="20">
        <f>IF(H51="","",IFERROR(VLOOKUP(H51,'Paramètres'!$A$12:$D$14,4,FALSE),0))</f>
        <v/>
      </c>
      <c r="M51" s="21">
        <f>IF(I51="","",ROUND(I51*L51,2))</f>
        <v/>
      </c>
      <c r="N51" s="21">
        <f>IF(I51="","",ROUND(I51+K51+M51,2))</f>
        <v/>
      </c>
      <c r="O51" s="19" t="n"/>
      <c r="P51" s="17" t="n"/>
      <c r="Q51" s="16" t="n"/>
      <c r="R51" s="18">
        <f>IF(A51="","",IF(O51&lt;=0,"Non payé",IF(O51&lt;N51,"Partiellement payé",IF(O51&gt;N51,"À vérifier","Payé"))))</f>
        <v/>
      </c>
      <c r="S51" s="21">
        <f>IF(A51="","",ROUND(N51-O51,2))</f>
        <v/>
      </c>
      <c r="T51" s="21">
        <f>IF(A51="","",IFERROR(MIN(I51,ROUND(O51/N51*I51,2)),0))</f>
        <v/>
      </c>
      <c r="U51" s="21">
        <f>IF(A51="","",IFERROR(ROUND(O51/N51*K51,2),0))</f>
        <v/>
      </c>
      <c r="V51" s="21">
        <f>IF(A51="","",IFERROR(ROUND(O51/N51*M51,2),0))</f>
        <v/>
      </c>
      <c r="W51" s="21">
        <f>IF(A51="","",ROUND(N51-(I51+K51+M51),2))</f>
        <v/>
      </c>
      <c r="X51" s="18">
        <f>IF(A51="","",IF(E51="Client introuvable","Code client introuvable",IF(O51&gt;N51,"Encaissement supérieur au total",IF(AND(C51&lt;B51,C51&lt;&gt;""),"Date d’échéance invalide",IF(MAX(W51,-W51)&gt;0.01,"Écart de calcul à vérifier",IF(AND(R51&lt;&gt;"Payé",C51&lt;'Paramètres'!$B$6,C51&lt;&gt;""),"Échéance dépassée","OK"))))))</f>
        <v/>
      </c>
      <c r="Y51" s="16" t="n"/>
    </row>
    <row r="52">
      <c r="A52" s="16" t="n"/>
      <c r="B52" s="17" t="n"/>
      <c r="C52" s="17" t="n"/>
      <c r="D52" s="16" t="n"/>
      <c r="E52" s="18">
        <f>IF(D52="","",IFERROR(VLOOKUP(D52,'Clients'!$A$4:$J$103,2,FALSE),"Client introuvable"))</f>
        <v/>
      </c>
      <c r="F52" s="16" t="n"/>
      <c r="G52" s="16" t="n"/>
      <c r="H52" s="16" t="n"/>
      <c r="I52" s="19" t="n"/>
      <c r="J52" s="20">
        <f>IF(H52="","",IFERROR(VLOOKUP(H52,'Paramètres'!$A$12:$D$14,3,FALSE),0))</f>
        <v/>
      </c>
      <c r="K52" s="21">
        <f>IF(I52="","",ROUND(I52*J52,2))</f>
        <v/>
      </c>
      <c r="L52" s="20">
        <f>IF(H52="","",IFERROR(VLOOKUP(H52,'Paramètres'!$A$12:$D$14,4,FALSE),0))</f>
        <v/>
      </c>
      <c r="M52" s="21">
        <f>IF(I52="","",ROUND(I52*L52,2))</f>
        <v/>
      </c>
      <c r="N52" s="21">
        <f>IF(I52="","",ROUND(I52+K52+M52,2))</f>
        <v/>
      </c>
      <c r="O52" s="19" t="n"/>
      <c r="P52" s="17" t="n"/>
      <c r="Q52" s="16" t="n"/>
      <c r="R52" s="18">
        <f>IF(A52="","",IF(O52&lt;=0,"Non payé",IF(O52&lt;N52,"Partiellement payé",IF(O52&gt;N52,"À vérifier","Payé"))))</f>
        <v/>
      </c>
      <c r="S52" s="21">
        <f>IF(A52="","",ROUND(N52-O52,2))</f>
        <v/>
      </c>
      <c r="T52" s="21">
        <f>IF(A52="","",IFERROR(MIN(I52,ROUND(O52/N52*I52,2)),0))</f>
        <v/>
      </c>
      <c r="U52" s="21">
        <f>IF(A52="","",IFERROR(ROUND(O52/N52*K52,2),0))</f>
        <v/>
      </c>
      <c r="V52" s="21">
        <f>IF(A52="","",IFERROR(ROUND(O52/N52*M52,2),0))</f>
        <v/>
      </c>
      <c r="W52" s="21">
        <f>IF(A52="","",ROUND(N52-(I52+K52+M52),2))</f>
        <v/>
      </c>
      <c r="X52" s="18">
        <f>IF(A52="","",IF(E52="Client introuvable","Code client introuvable",IF(O52&gt;N52,"Encaissement supérieur au total",IF(AND(C52&lt;B52,C52&lt;&gt;""),"Date d’échéance invalide",IF(MAX(W52,-W52)&gt;0.01,"Écart de calcul à vérifier",IF(AND(R52&lt;&gt;"Payé",C52&lt;'Paramètres'!$B$6,C52&lt;&gt;""),"Échéance dépassée","OK"))))))</f>
        <v/>
      </c>
      <c r="Y52" s="16" t="n"/>
    </row>
    <row r="53">
      <c r="A53" s="16" t="n"/>
      <c r="B53" s="17" t="n"/>
      <c r="C53" s="17" t="n"/>
      <c r="D53" s="16" t="n"/>
      <c r="E53" s="18">
        <f>IF(D53="","",IFERROR(VLOOKUP(D53,'Clients'!$A$4:$J$103,2,FALSE),"Client introuvable"))</f>
        <v/>
      </c>
      <c r="F53" s="16" t="n"/>
      <c r="G53" s="16" t="n"/>
      <c r="H53" s="16" t="n"/>
      <c r="I53" s="19" t="n"/>
      <c r="J53" s="20">
        <f>IF(H53="","",IFERROR(VLOOKUP(H53,'Paramètres'!$A$12:$D$14,3,FALSE),0))</f>
        <v/>
      </c>
      <c r="K53" s="21">
        <f>IF(I53="","",ROUND(I53*J53,2))</f>
        <v/>
      </c>
      <c r="L53" s="20">
        <f>IF(H53="","",IFERROR(VLOOKUP(H53,'Paramètres'!$A$12:$D$14,4,FALSE),0))</f>
        <v/>
      </c>
      <c r="M53" s="21">
        <f>IF(I53="","",ROUND(I53*L53,2))</f>
        <v/>
      </c>
      <c r="N53" s="21">
        <f>IF(I53="","",ROUND(I53+K53+M53,2))</f>
        <v/>
      </c>
      <c r="O53" s="19" t="n"/>
      <c r="P53" s="17" t="n"/>
      <c r="Q53" s="16" t="n"/>
      <c r="R53" s="18">
        <f>IF(A53="","",IF(O53&lt;=0,"Non payé",IF(O53&lt;N53,"Partiellement payé",IF(O53&gt;N53,"À vérifier","Payé"))))</f>
        <v/>
      </c>
      <c r="S53" s="21">
        <f>IF(A53="","",ROUND(N53-O53,2))</f>
        <v/>
      </c>
      <c r="T53" s="21">
        <f>IF(A53="","",IFERROR(MIN(I53,ROUND(O53/N53*I53,2)),0))</f>
        <v/>
      </c>
      <c r="U53" s="21">
        <f>IF(A53="","",IFERROR(ROUND(O53/N53*K53,2),0))</f>
        <v/>
      </c>
      <c r="V53" s="21">
        <f>IF(A53="","",IFERROR(ROUND(O53/N53*M53,2),0))</f>
        <v/>
      </c>
      <c r="W53" s="21">
        <f>IF(A53="","",ROUND(N53-(I53+K53+M53),2))</f>
        <v/>
      </c>
      <c r="X53" s="18">
        <f>IF(A53="","",IF(E53="Client introuvable","Code client introuvable",IF(O53&gt;N53,"Encaissement supérieur au total",IF(AND(C53&lt;B53,C53&lt;&gt;""),"Date d’échéance invalide",IF(MAX(W53,-W53)&gt;0.01,"Écart de calcul à vérifier",IF(AND(R53&lt;&gt;"Payé",C53&lt;'Paramètres'!$B$6,C53&lt;&gt;""),"Échéance dépassée","OK"))))))</f>
        <v/>
      </c>
      <c r="Y53" s="16" t="n"/>
    </row>
    <row r="54">
      <c r="A54" s="16" t="n"/>
      <c r="B54" s="17" t="n"/>
      <c r="C54" s="17" t="n"/>
      <c r="D54" s="16" t="n"/>
      <c r="E54" s="18">
        <f>IF(D54="","",IFERROR(VLOOKUP(D54,'Clients'!$A$4:$J$103,2,FALSE),"Client introuvable"))</f>
        <v/>
      </c>
      <c r="F54" s="16" t="n"/>
      <c r="G54" s="16" t="n"/>
      <c r="H54" s="16" t="n"/>
      <c r="I54" s="19" t="n"/>
      <c r="J54" s="20">
        <f>IF(H54="","",IFERROR(VLOOKUP(H54,'Paramètres'!$A$12:$D$14,3,FALSE),0))</f>
        <v/>
      </c>
      <c r="K54" s="21">
        <f>IF(I54="","",ROUND(I54*J54,2))</f>
        <v/>
      </c>
      <c r="L54" s="20">
        <f>IF(H54="","",IFERROR(VLOOKUP(H54,'Paramètres'!$A$12:$D$14,4,FALSE),0))</f>
        <v/>
      </c>
      <c r="M54" s="21">
        <f>IF(I54="","",ROUND(I54*L54,2))</f>
        <v/>
      </c>
      <c r="N54" s="21">
        <f>IF(I54="","",ROUND(I54+K54+M54,2))</f>
        <v/>
      </c>
      <c r="O54" s="19" t="n"/>
      <c r="P54" s="17" t="n"/>
      <c r="Q54" s="16" t="n"/>
      <c r="R54" s="18">
        <f>IF(A54="","",IF(O54&lt;=0,"Non payé",IF(O54&lt;N54,"Partiellement payé",IF(O54&gt;N54,"À vérifier","Payé"))))</f>
        <v/>
      </c>
      <c r="S54" s="21">
        <f>IF(A54="","",ROUND(N54-O54,2))</f>
        <v/>
      </c>
      <c r="T54" s="21">
        <f>IF(A54="","",IFERROR(MIN(I54,ROUND(O54/N54*I54,2)),0))</f>
        <v/>
      </c>
      <c r="U54" s="21">
        <f>IF(A54="","",IFERROR(ROUND(O54/N54*K54,2),0))</f>
        <v/>
      </c>
      <c r="V54" s="21">
        <f>IF(A54="","",IFERROR(ROUND(O54/N54*M54,2),0))</f>
        <v/>
      </c>
      <c r="W54" s="21">
        <f>IF(A54="","",ROUND(N54-(I54+K54+M54),2))</f>
        <v/>
      </c>
      <c r="X54" s="18">
        <f>IF(A54="","",IF(E54="Client introuvable","Code client introuvable",IF(O54&gt;N54,"Encaissement supérieur au total",IF(AND(C54&lt;B54,C54&lt;&gt;""),"Date d’échéance invalide",IF(MAX(W54,-W54)&gt;0.01,"Écart de calcul à vérifier",IF(AND(R54&lt;&gt;"Payé",C54&lt;'Paramètres'!$B$6,C54&lt;&gt;""),"Échéance dépassée","OK"))))))</f>
        <v/>
      </c>
      <c r="Y54" s="16" t="n"/>
    </row>
    <row r="55">
      <c r="A55" s="16" t="n"/>
      <c r="B55" s="17" t="n"/>
      <c r="C55" s="17" t="n"/>
      <c r="D55" s="16" t="n"/>
      <c r="E55" s="18">
        <f>IF(D55="","",IFERROR(VLOOKUP(D55,'Clients'!$A$4:$J$103,2,FALSE),"Client introuvable"))</f>
        <v/>
      </c>
      <c r="F55" s="16" t="n"/>
      <c r="G55" s="16" t="n"/>
      <c r="H55" s="16" t="n"/>
      <c r="I55" s="19" t="n"/>
      <c r="J55" s="20">
        <f>IF(H55="","",IFERROR(VLOOKUP(H55,'Paramètres'!$A$12:$D$14,3,FALSE),0))</f>
        <v/>
      </c>
      <c r="K55" s="21">
        <f>IF(I55="","",ROUND(I55*J55,2))</f>
        <v/>
      </c>
      <c r="L55" s="20">
        <f>IF(H55="","",IFERROR(VLOOKUP(H55,'Paramètres'!$A$12:$D$14,4,FALSE),0))</f>
        <v/>
      </c>
      <c r="M55" s="21">
        <f>IF(I55="","",ROUND(I55*L55,2))</f>
        <v/>
      </c>
      <c r="N55" s="21">
        <f>IF(I55="","",ROUND(I55+K55+M55,2))</f>
        <v/>
      </c>
      <c r="O55" s="19" t="n"/>
      <c r="P55" s="17" t="n"/>
      <c r="Q55" s="16" t="n"/>
      <c r="R55" s="18">
        <f>IF(A55="","",IF(O55&lt;=0,"Non payé",IF(O55&lt;N55,"Partiellement payé",IF(O55&gt;N55,"À vérifier","Payé"))))</f>
        <v/>
      </c>
      <c r="S55" s="21">
        <f>IF(A55="","",ROUND(N55-O55,2))</f>
        <v/>
      </c>
      <c r="T55" s="21">
        <f>IF(A55="","",IFERROR(MIN(I55,ROUND(O55/N55*I55,2)),0))</f>
        <v/>
      </c>
      <c r="U55" s="21">
        <f>IF(A55="","",IFERROR(ROUND(O55/N55*K55,2),0))</f>
        <v/>
      </c>
      <c r="V55" s="21">
        <f>IF(A55="","",IFERROR(ROUND(O55/N55*M55,2),0))</f>
        <v/>
      </c>
      <c r="W55" s="21">
        <f>IF(A55="","",ROUND(N55-(I55+K55+M55),2))</f>
        <v/>
      </c>
      <c r="X55" s="18">
        <f>IF(A55="","",IF(E55="Client introuvable","Code client introuvable",IF(O55&gt;N55,"Encaissement supérieur au total",IF(AND(C55&lt;B55,C55&lt;&gt;""),"Date d’échéance invalide",IF(MAX(W55,-W55)&gt;0.01,"Écart de calcul à vérifier",IF(AND(R55&lt;&gt;"Payé",C55&lt;'Paramètres'!$B$6,C55&lt;&gt;""),"Échéance dépassée","OK"))))))</f>
        <v/>
      </c>
      <c r="Y55" s="16" t="n"/>
    </row>
    <row r="56">
      <c r="A56" s="16" t="n"/>
      <c r="B56" s="17" t="n"/>
      <c r="C56" s="17" t="n"/>
      <c r="D56" s="16" t="n"/>
      <c r="E56" s="18">
        <f>IF(D56="","",IFERROR(VLOOKUP(D56,'Clients'!$A$4:$J$103,2,FALSE),"Client introuvable"))</f>
        <v/>
      </c>
      <c r="F56" s="16" t="n"/>
      <c r="G56" s="16" t="n"/>
      <c r="H56" s="16" t="n"/>
      <c r="I56" s="19" t="n"/>
      <c r="J56" s="20">
        <f>IF(H56="","",IFERROR(VLOOKUP(H56,'Paramètres'!$A$12:$D$14,3,FALSE),0))</f>
        <v/>
      </c>
      <c r="K56" s="21">
        <f>IF(I56="","",ROUND(I56*J56,2))</f>
        <v/>
      </c>
      <c r="L56" s="20">
        <f>IF(H56="","",IFERROR(VLOOKUP(H56,'Paramètres'!$A$12:$D$14,4,FALSE),0))</f>
        <v/>
      </c>
      <c r="M56" s="21">
        <f>IF(I56="","",ROUND(I56*L56,2))</f>
        <v/>
      </c>
      <c r="N56" s="21">
        <f>IF(I56="","",ROUND(I56+K56+M56,2))</f>
        <v/>
      </c>
      <c r="O56" s="19" t="n"/>
      <c r="P56" s="17" t="n"/>
      <c r="Q56" s="16" t="n"/>
      <c r="R56" s="18">
        <f>IF(A56="","",IF(O56&lt;=0,"Non payé",IF(O56&lt;N56,"Partiellement payé",IF(O56&gt;N56,"À vérifier","Payé"))))</f>
        <v/>
      </c>
      <c r="S56" s="21">
        <f>IF(A56="","",ROUND(N56-O56,2))</f>
        <v/>
      </c>
      <c r="T56" s="21">
        <f>IF(A56="","",IFERROR(MIN(I56,ROUND(O56/N56*I56,2)),0))</f>
        <v/>
      </c>
      <c r="U56" s="21">
        <f>IF(A56="","",IFERROR(ROUND(O56/N56*K56,2),0))</f>
        <v/>
      </c>
      <c r="V56" s="21">
        <f>IF(A56="","",IFERROR(ROUND(O56/N56*M56,2),0))</f>
        <v/>
      </c>
      <c r="W56" s="21">
        <f>IF(A56="","",ROUND(N56-(I56+K56+M56),2))</f>
        <v/>
      </c>
      <c r="X56" s="18">
        <f>IF(A56="","",IF(E56="Client introuvable","Code client introuvable",IF(O56&gt;N56,"Encaissement supérieur au total",IF(AND(C56&lt;B56,C56&lt;&gt;""),"Date d’échéance invalide",IF(MAX(W56,-W56)&gt;0.01,"Écart de calcul à vérifier",IF(AND(R56&lt;&gt;"Payé",C56&lt;'Paramètres'!$B$6,C56&lt;&gt;""),"Échéance dépassée","OK"))))))</f>
        <v/>
      </c>
      <c r="Y56" s="16" t="n"/>
    </row>
    <row r="57">
      <c r="A57" s="16" t="n"/>
      <c r="B57" s="17" t="n"/>
      <c r="C57" s="17" t="n"/>
      <c r="D57" s="16" t="n"/>
      <c r="E57" s="18">
        <f>IF(D57="","",IFERROR(VLOOKUP(D57,'Clients'!$A$4:$J$103,2,FALSE),"Client introuvable"))</f>
        <v/>
      </c>
      <c r="F57" s="16" t="n"/>
      <c r="G57" s="16" t="n"/>
      <c r="H57" s="16" t="n"/>
      <c r="I57" s="19" t="n"/>
      <c r="J57" s="20">
        <f>IF(H57="","",IFERROR(VLOOKUP(H57,'Paramètres'!$A$12:$D$14,3,FALSE),0))</f>
        <v/>
      </c>
      <c r="K57" s="21">
        <f>IF(I57="","",ROUND(I57*J57,2))</f>
        <v/>
      </c>
      <c r="L57" s="20">
        <f>IF(H57="","",IFERROR(VLOOKUP(H57,'Paramètres'!$A$12:$D$14,4,FALSE),0))</f>
        <v/>
      </c>
      <c r="M57" s="21">
        <f>IF(I57="","",ROUND(I57*L57,2))</f>
        <v/>
      </c>
      <c r="N57" s="21">
        <f>IF(I57="","",ROUND(I57+K57+M57,2))</f>
        <v/>
      </c>
      <c r="O57" s="19" t="n"/>
      <c r="P57" s="17" t="n"/>
      <c r="Q57" s="16" t="n"/>
      <c r="R57" s="18">
        <f>IF(A57="","",IF(O57&lt;=0,"Non payé",IF(O57&lt;N57,"Partiellement payé",IF(O57&gt;N57,"À vérifier","Payé"))))</f>
        <v/>
      </c>
      <c r="S57" s="21">
        <f>IF(A57="","",ROUND(N57-O57,2))</f>
        <v/>
      </c>
      <c r="T57" s="21">
        <f>IF(A57="","",IFERROR(MIN(I57,ROUND(O57/N57*I57,2)),0))</f>
        <v/>
      </c>
      <c r="U57" s="21">
        <f>IF(A57="","",IFERROR(ROUND(O57/N57*K57,2),0))</f>
        <v/>
      </c>
      <c r="V57" s="21">
        <f>IF(A57="","",IFERROR(ROUND(O57/N57*M57,2),0))</f>
        <v/>
      </c>
      <c r="W57" s="21">
        <f>IF(A57="","",ROUND(N57-(I57+K57+M57),2))</f>
        <v/>
      </c>
      <c r="X57" s="18">
        <f>IF(A57="","",IF(E57="Client introuvable","Code client introuvable",IF(O57&gt;N57,"Encaissement supérieur au total",IF(AND(C57&lt;B57,C57&lt;&gt;""),"Date d’échéance invalide",IF(MAX(W57,-W57)&gt;0.01,"Écart de calcul à vérifier",IF(AND(R57&lt;&gt;"Payé",C57&lt;'Paramètres'!$B$6,C57&lt;&gt;""),"Échéance dépassée","OK"))))))</f>
        <v/>
      </c>
      <c r="Y57" s="16" t="n"/>
    </row>
    <row r="58">
      <c r="A58" s="16" t="n"/>
      <c r="B58" s="17" t="n"/>
      <c r="C58" s="17" t="n"/>
      <c r="D58" s="16" t="n"/>
      <c r="E58" s="18">
        <f>IF(D58="","",IFERROR(VLOOKUP(D58,'Clients'!$A$4:$J$103,2,FALSE),"Client introuvable"))</f>
        <v/>
      </c>
      <c r="F58" s="16" t="n"/>
      <c r="G58" s="16" t="n"/>
      <c r="H58" s="16" t="n"/>
      <c r="I58" s="19" t="n"/>
      <c r="J58" s="20">
        <f>IF(H58="","",IFERROR(VLOOKUP(H58,'Paramètres'!$A$12:$D$14,3,FALSE),0))</f>
        <v/>
      </c>
      <c r="K58" s="21">
        <f>IF(I58="","",ROUND(I58*J58,2))</f>
        <v/>
      </c>
      <c r="L58" s="20">
        <f>IF(H58="","",IFERROR(VLOOKUP(H58,'Paramètres'!$A$12:$D$14,4,FALSE),0))</f>
        <v/>
      </c>
      <c r="M58" s="21">
        <f>IF(I58="","",ROUND(I58*L58,2))</f>
        <v/>
      </c>
      <c r="N58" s="21">
        <f>IF(I58="","",ROUND(I58+K58+M58,2))</f>
        <v/>
      </c>
      <c r="O58" s="19" t="n"/>
      <c r="P58" s="17" t="n"/>
      <c r="Q58" s="16" t="n"/>
      <c r="R58" s="18">
        <f>IF(A58="","",IF(O58&lt;=0,"Non payé",IF(O58&lt;N58,"Partiellement payé",IF(O58&gt;N58,"À vérifier","Payé"))))</f>
        <v/>
      </c>
      <c r="S58" s="21">
        <f>IF(A58="","",ROUND(N58-O58,2))</f>
        <v/>
      </c>
      <c r="T58" s="21">
        <f>IF(A58="","",IFERROR(MIN(I58,ROUND(O58/N58*I58,2)),0))</f>
        <v/>
      </c>
      <c r="U58" s="21">
        <f>IF(A58="","",IFERROR(ROUND(O58/N58*K58,2),0))</f>
        <v/>
      </c>
      <c r="V58" s="21">
        <f>IF(A58="","",IFERROR(ROUND(O58/N58*M58,2),0))</f>
        <v/>
      </c>
      <c r="W58" s="21">
        <f>IF(A58="","",ROUND(N58-(I58+K58+M58),2))</f>
        <v/>
      </c>
      <c r="X58" s="18">
        <f>IF(A58="","",IF(E58="Client introuvable","Code client introuvable",IF(O58&gt;N58,"Encaissement supérieur au total",IF(AND(C58&lt;B58,C58&lt;&gt;""),"Date d’échéance invalide",IF(MAX(W58,-W58)&gt;0.01,"Écart de calcul à vérifier",IF(AND(R58&lt;&gt;"Payé",C58&lt;'Paramètres'!$B$6,C58&lt;&gt;""),"Échéance dépassée","OK"))))))</f>
        <v/>
      </c>
      <c r="Y58" s="16" t="n"/>
    </row>
    <row r="59">
      <c r="A59" s="16" t="n"/>
      <c r="B59" s="17" t="n"/>
      <c r="C59" s="17" t="n"/>
      <c r="D59" s="16" t="n"/>
      <c r="E59" s="18">
        <f>IF(D59="","",IFERROR(VLOOKUP(D59,'Clients'!$A$4:$J$103,2,FALSE),"Client introuvable"))</f>
        <v/>
      </c>
      <c r="F59" s="16" t="n"/>
      <c r="G59" s="16" t="n"/>
      <c r="H59" s="16" t="n"/>
      <c r="I59" s="19" t="n"/>
      <c r="J59" s="20">
        <f>IF(H59="","",IFERROR(VLOOKUP(H59,'Paramètres'!$A$12:$D$14,3,FALSE),0))</f>
        <v/>
      </c>
      <c r="K59" s="21">
        <f>IF(I59="","",ROUND(I59*J59,2))</f>
        <v/>
      </c>
      <c r="L59" s="20">
        <f>IF(H59="","",IFERROR(VLOOKUP(H59,'Paramètres'!$A$12:$D$14,4,FALSE),0))</f>
        <v/>
      </c>
      <c r="M59" s="21">
        <f>IF(I59="","",ROUND(I59*L59,2))</f>
        <v/>
      </c>
      <c r="N59" s="21">
        <f>IF(I59="","",ROUND(I59+K59+M59,2))</f>
        <v/>
      </c>
      <c r="O59" s="19" t="n"/>
      <c r="P59" s="17" t="n"/>
      <c r="Q59" s="16" t="n"/>
      <c r="R59" s="18">
        <f>IF(A59="","",IF(O59&lt;=0,"Non payé",IF(O59&lt;N59,"Partiellement payé",IF(O59&gt;N59,"À vérifier","Payé"))))</f>
        <v/>
      </c>
      <c r="S59" s="21">
        <f>IF(A59="","",ROUND(N59-O59,2))</f>
        <v/>
      </c>
      <c r="T59" s="21">
        <f>IF(A59="","",IFERROR(MIN(I59,ROUND(O59/N59*I59,2)),0))</f>
        <v/>
      </c>
      <c r="U59" s="21">
        <f>IF(A59="","",IFERROR(ROUND(O59/N59*K59,2),0))</f>
        <v/>
      </c>
      <c r="V59" s="21">
        <f>IF(A59="","",IFERROR(ROUND(O59/N59*M59,2),0))</f>
        <v/>
      </c>
      <c r="W59" s="21">
        <f>IF(A59="","",ROUND(N59-(I59+K59+M59),2))</f>
        <v/>
      </c>
      <c r="X59" s="18">
        <f>IF(A59="","",IF(E59="Client introuvable","Code client introuvable",IF(O59&gt;N59,"Encaissement supérieur au total",IF(AND(C59&lt;B59,C59&lt;&gt;""),"Date d’échéance invalide",IF(MAX(W59,-W59)&gt;0.01,"Écart de calcul à vérifier",IF(AND(R59&lt;&gt;"Payé",C59&lt;'Paramètres'!$B$6,C59&lt;&gt;""),"Échéance dépassée","OK"))))))</f>
        <v/>
      </c>
      <c r="Y59" s="16" t="n"/>
    </row>
    <row r="60">
      <c r="A60" s="16" t="n"/>
      <c r="B60" s="17" t="n"/>
      <c r="C60" s="17" t="n"/>
      <c r="D60" s="16" t="n"/>
      <c r="E60" s="18">
        <f>IF(D60="","",IFERROR(VLOOKUP(D60,'Clients'!$A$4:$J$103,2,FALSE),"Client introuvable"))</f>
        <v/>
      </c>
      <c r="F60" s="16" t="n"/>
      <c r="G60" s="16" t="n"/>
      <c r="H60" s="16" t="n"/>
      <c r="I60" s="19" t="n"/>
      <c r="J60" s="20">
        <f>IF(H60="","",IFERROR(VLOOKUP(H60,'Paramètres'!$A$12:$D$14,3,FALSE),0))</f>
        <v/>
      </c>
      <c r="K60" s="21">
        <f>IF(I60="","",ROUND(I60*J60,2))</f>
        <v/>
      </c>
      <c r="L60" s="20">
        <f>IF(H60="","",IFERROR(VLOOKUP(H60,'Paramètres'!$A$12:$D$14,4,FALSE),0))</f>
        <v/>
      </c>
      <c r="M60" s="21">
        <f>IF(I60="","",ROUND(I60*L60,2))</f>
        <v/>
      </c>
      <c r="N60" s="21">
        <f>IF(I60="","",ROUND(I60+K60+M60,2))</f>
        <v/>
      </c>
      <c r="O60" s="19" t="n"/>
      <c r="P60" s="17" t="n"/>
      <c r="Q60" s="16" t="n"/>
      <c r="R60" s="18">
        <f>IF(A60="","",IF(O60&lt;=0,"Non payé",IF(O60&lt;N60,"Partiellement payé",IF(O60&gt;N60,"À vérifier","Payé"))))</f>
        <v/>
      </c>
      <c r="S60" s="21">
        <f>IF(A60="","",ROUND(N60-O60,2))</f>
        <v/>
      </c>
      <c r="T60" s="21">
        <f>IF(A60="","",IFERROR(MIN(I60,ROUND(O60/N60*I60,2)),0))</f>
        <v/>
      </c>
      <c r="U60" s="21">
        <f>IF(A60="","",IFERROR(ROUND(O60/N60*K60,2),0))</f>
        <v/>
      </c>
      <c r="V60" s="21">
        <f>IF(A60="","",IFERROR(ROUND(O60/N60*M60,2),0))</f>
        <v/>
      </c>
      <c r="W60" s="21">
        <f>IF(A60="","",ROUND(N60-(I60+K60+M60),2))</f>
        <v/>
      </c>
      <c r="X60" s="18">
        <f>IF(A60="","",IF(E60="Client introuvable","Code client introuvable",IF(O60&gt;N60,"Encaissement supérieur au total",IF(AND(C60&lt;B60,C60&lt;&gt;""),"Date d’échéance invalide",IF(MAX(W60,-W60)&gt;0.01,"Écart de calcul à vérifier",IF(AND(R60&lt;&gt;"Payé",C60&lt;'Paramètres'!$B$6,C60&lt;&gt;""),"Échéance dépassée","OK"))))))</f>
        <v/>
      </c>
      <c r="Y60" s="16" t="n"/>
    </row>
    <row r="61">
      <c r="A61" s="16" t="n"/>
      <c r="B61" s="17" t="n"/>
      <c r="C61" s="17" t="n"/>
      <c r="D61" s="16" t="n"/>
      <c r="E61" s="18">
        <f>IF(D61="","",IFERROR(VLOOKUP(D61,'Clients'!$A$4:$J$103,2,FALSE),"Client introuvable"))</f>
        <v/>
      </c>
      <c r="F61" s="16" t="n"/>
      <c r="G61" s="16" t="n"/>
      <c r="H61" s="16" t="n"/>
      <c r="I61" s="19" t="n"/>
      <c r="J61" s="20">
        <f>IF(H61="","",IFERROR(VLOOKUP(H61,'Paramètres'!$A$12:$D$14,3,FALSE),0))</f>
        <v/>
      </c>
      <c r="K61" s="21">
        <f>IF(I61="","",ROUND(I61*J61,2))</f>
        <v/>
      </c>
      <c r="L61" s="20">
        <f>IF(H61="","",IFERROR(VLOOKUP(H61,'Paramètres'!$A$12:$D$14,4,FALSE),0))</f>
        <v/>
      </c>
      <c r="M61" s="21">
        <f>IF(I61="","",ROUND(I61*L61,2))</f>
        <v/>
      </c>
      <c r="N61" s="21">
        <f>IF(I61="","",ROUND(I61+K61+M61,2))</f>
        <v/>
      </c>
      <c r="O61" s="19" t="n"/>
      <c r="P61" s="17" t="n"/>
      <c r="Q61" s="16" t="n"/>
      <c r="R61" s="18">
        <f>IF(A61="","",IF(O61&lt;=0,"Non payé",IF(O61&lt;N61,"Partiellement payé",IF(O61&gt;N61,"À vérifier","Payé"))))</f>
        <v/>
      </c>
      <c r="S61" s="21">
        <f>IF(A61="","",ROUND(N61-O61,2))</f>
        <v/>
      </c>
      <c r="T61" s="21">
        <f>IF(A61="","",IFERROR(MIN(I61,ROUND(O61/N61*I61,2)),0))</f>
        <v/>
      </c>
      <c r="U61" s="21">
        <f>IF(A61="","",IFERROR(ROUND(O61/N61*K61,2),0))</f>
        <v/>
      </c>
      <c r="V61" s="21">
        <f>IF(A61="","",IFERROR(ROUND(O61/N61*M61,2),0))</f>
        <v/>
      </c>
      <c r="W61" s="21">
        <f>IF(A61="","",ROUND(N61-(I61+K61+M61),2))</f>
        <v/>
      </c>
      <c r="X61" s="18">
        <f>IF(A61="","",IF(E61="Client introuvable","Code client introuvable",IF(O61&gt;N61,"Encaissement supérieur au total",IF(AND(C61&lt;B61,C61&lt;&gt;""),"Date d’échéance invalide",IF(MAX(W61,-W61)&gt;0.01,"Écart de calcul à vérifier",IF(AND(R61&lt;&gt;"Payé",C61&lt;'Paramètres'!$B$6,C61&lt;&gt;""),"Échéance dépassée","OK"))))))</f>
        <v/>
      </c>
      <c r="Y61" s="16" t="n"/>
    </row>
    <row r="62">
      <c r="A62" s="16" t="n"/>
      <c r="B62" s="17" t="n"/>
      <c r="C62" s="17" t="n"/>
      <c r="D62" s="16" t="n"/>
      <c r="E62" s="18">
        <f>IF(D62="","",IFERROR(VLOOKUP(D62,'Clients'!$A$4:$J$103,2,FALSE),"Client introuvable"))</f>
        <v/>
      </c>
      <c r="F62" s="16" t="n"/>
      <c r="G62" s="16" t="n"/>
      <c r="H62" s="16" t="n"/>
      <c r="I62" s="19" t="n"/>
      <c r="J62" s="20">
        <f>IF(H62="","",IFERROR(VLOOKUP(H62,'Paramètres'!$A$12:$D$14,3,FALSE),0))</f>
        <v/>
      </c>
      <c r="K62" s="21">
        <f>IF(I62="","",ROUND(I62*J62,2))</f>
        <v/>
      </c>
      <c r="L62" s="20">
        <f>IF(H62="","",IFERROR(VLOOKUP(H62,'Paramètres'!$A$12:$D$14,4,FALSE),0))</f>
        <v/>
      </c>
      <c r="M62" s="21">
        <f>IF(I62="","",ROUND(I62*L62,2))</f>
        <v/>
      </c>
      <c r="N62" s="21">
        <f>IF(I62="","",ROUND(I62+K62+M62,2))</f>
        <v/>
      </c>
      <c r="O62" s="19" t="n"/>
      <c r="P62" s="17" t="n"/>
      <c r="Q62" s="16" t="n"/>
      <c r="R62" s="18">
        <f>IF(A62="","",IF(O62&lt;=0,"Non payé",IF(O62&lt;N62,"Partiellement payé",IF(O62&gt;N62,"À vérifier","Payé"))))</f>
        <v/>
      </c>
      <c r="S62" s="21">
        <f>IF(A62="","",ROUND(N62-O62,2))</f>
        <v/>
      </c>
      <c r="T62" s="21">
        <f>IF(A62="","",IFERROR(MIN(I62,ROUND(O62/N62*I62,2)),0))</f>
        <v/>
      </c>
      <c r="U62" s="21">
        <f>IF(A62="","",IFERROR(ROUND(O62/N62*K62,2),0))</f>
        <v/>
      </c>
      <c r="V62" s="21">
        <f>IF(A62="","",IFERROR(ROUND(O62/N62*M62,2),0))</f>
        <v/>
      </c>
      <c r="W62" s="21">
        <f>IF(A62="","",ROUND(N62-(I62+K62+M62),2))</f>
        <v/>
      </c>
      <c r="X62" s="18">
        <f>IF(A62="","",IF(E62="Client introuvable","Code client introuvable",IF(O62&gt;N62,"Encaissement supérieur au total",IF(AND(C62&lt;B62,C62&lt;&gt;""),"Date d’échéance invalide",IF(MAX(W62,-W62)&gt;0.01,"Écart de calcul à vérifier",IF(AND(R62&lt;&gt;"Payé",C62&lt;'Paramètres'!$B$6,C62&lt;&gt;""),"Échéance dépassée","OK"))))))</f>
        <v/>
      </c>
      <c r="Y62" s="16" t="n"/>
    </row>
    <row r="63">
      <c r="A63" s="16" t="n"/>
      <c r="B63" s="17" t="n"/>
      <c r="C63" s="17" t="n"/>
      <c r="D63" s="16" t="n"/>
      <c r="E63" s="18">
        <f>IF(D63="","",IFERROR(VLOOKUP(D63,'Clients'!$A$4:$J$103,2,FALSE),"Client introuvable"))</f>
        <v/>
      </c>
      <c r="F63" s="16" t="n"/>
      <c r="G63" s="16" t="n"/>
      <c r="H63" s="16" t="n"/>
      <c r="I63" s="19" t="n"/>
      <c r="J63" s="20">
        <f>IF(H63="","",IFERROR(VLOOKUP(H63,'Paramètres'!$A$12:$D$14,3,FALSE),0))</f>
        <v/>
      </c>
      <c r="K63" s="21">
        <f>IF(I63="","",ROUND(I63*J63,2))</f>
        <v/>
      </c>
      <c r="L63" s="20">
        <f>IF(H63="","",IFERROR(VLOOKUP(H63,'Paramètres'!$A$12:$D$14,4,FALSE),0))</f>
        <v/>
      </c>
      <c r="M63" s="21">
        <f>IF(I63="","",ROUND(I63*L63,2))</f>
        <v/>
      </c>
      <c r="N63" s="21">
        <f>IF(I63="","",ROUND(I63+K63+M63,2))</f>
        <v/>
      </c>
      <c r="O63" s="19" t="n"/>
      <c r="P63" s="17" t="n"/>
      <c r="Q63" s="16" t="n"/>
      <c r="R63" s="18">
        <f>IF(A63="","",IF(O63&lt;=0,"Non payé",IF(O63&lt;N63,"Partiellement payé",IF(O63&gt;N63,"À vérifier","Payé"))))</f>
        <v/>
      </c>
      <c r="S63" s="21">
        <f>IF(A63="","",ROUND(N63-O63,2))</f>
        <v/>
      </c>
      <c r="T63" s="21">
        <f>IF(A63="","",IFERROR(MIN(I63,ROUND(O63/N63*I63,2)),0))</f>
        <v/>
      </c>
      <c r="U63" s="21">
        <f>IF(A63="","",IFERROR(ROUND(O63/N63*K63,2),0))</f>
        <v/>
      </c>
      <c r="V63" s="21">
        <f>IF(A63="","",IFERROR(ROUND(O63/N63*M63,2),0))</f>
        <v/>
      </c>
      <c r="W63" s="21">
        <f>IF(A63="","",ROUND(N63-(I63+K63+M63),2))</f>
        <v/>
      </c>
      <c r="X63" s="18">
        <f>IF(A63="","",IF(E63="Client introuvable","Code client introuvable",IF(O63&gt;N63,"Encaissement supérieur au total",IF(AND(C63&lt;B63,C63&lt;&gt;""),"Date d’échéance invalide",IF(MAX(W63,-W63)&gt;0.01,"Écart de calcul à vérifier",IF(AND(R63&lt;&gt;"Payé",C63&lt;'Paramètres'!$B$6,C63&lt;&gt;""),"Échéance dépassée","OK"))))))</f>
        <v/>
      </c>
      <c r="Y63" s="16" t="n"/>
    </row>
    <row r="64">
      <c r="A64" s="16" t="n"/>
      <c r="B64" s="17" t="n"/>
      <c r="C64" s="17" t="n"/>
      <c r="D64" s="16" t="n"/>
      <c r="E64" s="18">
        <f>IF(D64="","",IFERROR(VLOOKUP(D64,'Clients'!$A$4:$J$103,2,FALSE),"Client introuvable"))</f>
        <v/>
      </c>
      <c r="F64" s="16" t="n"/>
      <c r="G64" s="16" t="n"/>
      <c r="H64" s="16" t="n"/>
      <c r="I64" s="19" t="n"/>
      <c r="J64" s="20">
        <f>IF(H64="","",IFERROR(VLOOKUP(H64,'Paramètres'!$A$12:$D$14,3,FALSE),0))</f>
        <v/>
      </c>
      <c r="K64" s="21">
        <f>IF(I64="","",ROUND(I64*J64,2))</f>
        <v/>
      </c>
      <c r="L64" s="20">
        <f>IF(H64="","",IFERROR(VLOOKUP(H64,'Paramètres'!$A$12:$D$14,4,FALSE),0))</f>
        <v/>
      </c>
      <c r="M64" s="21">
        <f>IF(I64="","",ROUND(I64*L64,2))</f>
        <v/>
      </c>
      <c r="N64" s="21">
        <f>IF(I64="","",ROUND(I64+K64+M64,2))</f>
        <v/>
      </c>
      <c r="O64" s="19" t="n"/>
      <c r="P64" s="17" t="n"/>
      <c r="Q64" s="16" t="n"/>
      <c r="R64" s="18">
        <f>IF(A64="","",IF(O64&lt;=0,"Non payé",IF(O64&lt;N64,"Partiellement payé",IF(O64&gt;N64,"À vérifier","Payé"))))</f>
        <v/>
      </c>
      <c r="S64" s="21">
        <f>IF(A64="","",ROUND(N64-O64,2))</f>
        <v/>
      </c>
      <c r="T64" s="21">
        <f>IF(A64="","",IFERROR(MIN(I64,ROUND(O64/N64*I64,2)),0))</f>
        <v/>
      </c>
      <c r="U64" s="21">
        <f>IF(A64="","",IFERROR(ROUND(O64/N64*K64,2),0))</f>
        <v/>
      </c>
      <c r="V64" s="21">
        <f>IF(A64="","",IFERROR(ROUND(O64/N64*M64,2),0))</f>
        <v/>
      </c>
      <c r="W64" s="21">
        <f>IF(A64="","",ROUND(N64-(I64+K64+M64),2))</f>
        <v/>
      </c>
      <c r="X64" s="18">
        <f>IF(A64="","",IF(E64="Client introuvable","Code client introuvable",IF(O64&gt;N64,"Encaissement supérieur au total",IF(AND(C64&lt;B64,C64&lt;&gt;""),"Date d’échéance invalide",IF(MAX(W64,-W64)&gt;0.01,"Écart de calcul à vérifier",IF(AND(R64&lt;&gt;"Payé",C64&lt;'Paramètres'!$B$6,C64&lt;&gt;""),"Échéance dépassée","OK"))))))</f>
        <v/>
      </c>
      <c r="Y64" s="16" t="n"/>
    </row>
    <row r="65">
      <c r="A65" s="16" t="n"/>
      <c r="B65" s="17" t="n"/>
      <c r="C65" s="17" t="n"/>
      <c r="D65" s="16" t="n"/>
      <c r="E65" s="18">
        <f>IF(D65="","",IFERROR(VLOOKUP(D65,'Clients'!$A$4:$J$103,2,FALSE),"Client introuvable"))</f>
        <v/>
      </c>
      <c r="F65" s="16" t="n"/>
      <c r="G65" s="16" t="n"/>
      <c r="H65" s="16" t="n"/>
      <c r="I65" s="19" t="n"/>
      <c r="J65" s="20">
        <f>IF(H65="","",IFERROR(VLOOKUP(H65,'Paramètres'!$A$12:$D$14,3,FALSE),0))</f>
        <v/>
      </c>
      <c r="K65" s="21">
        <f>IF(I65="","",ROUND(I65*J65,2))</f>
        <v/>
      </c>
      <c r="L65" s="20">
        <f>IF(H65="","",IFERROR(VLOOKUP(H65,'Paramètres'!$A$12:$D$14,4,FALSE),0))</f>
        <v/>
      </c>
      <c r="M65" s="21">
        <f>IF(I65="","",ROUND(I65*L65,2))</f>
        <v/>
      </c>
      <c r="N65" s="21">
        <f>IF(I65="","",ROUND(I65+K65+M65,2))</f>
        <v/>
      </c>
      <c r="O65" s="19" t="n"/>
      <c r="P65" s="17" t="n"/>
      <c r="Q65" s="16" t="n"/>
      <c r="R65" s="18">
        <f>IF(A65="","",IF(O65&lt;=0,"Non payé",IF(O65&lt;N65,"Partiellement payé",IF(O65&gt;N65,"À vérifier","Payé"))))</f>
        <v/>
      </c>
      <c r="S65" s="21">
        <f>IF(A65="","",ROUND(N65-O65,2))</f>
        <v/>
      </c>
      <c r="T65" s="21">
        <f>IF(A65="","",IFERROR(MIN(I65,ROUND(O65/N65*I65,2)),0))</f>
        <v/>
      </c>
      <c r="U65" s="21">
        <f>IF(A65="","",IFERROR(ROUND(O65/N65*K65,2),0))</f>
        <v/>
      </c>
      <c r="V65" s="21">
        <f>IF(A65="","",IFERROR(ROUND(O65/N65*M65,2),0))</f>
        <v/>
      </c>
      <c r="W65" s="21">
        <f>IF(A65="","",ROUND(N65-(I65+K65+M65),2))</f>
        <v/>
      </c>
      <c r="X65" s="18">
        <f>IF(A65="","",IF(E65="Client introuvable","Code client introuvable",IF(O65&gt;N65,"Encaissement supérieur au total",IF(AND(C65&lt;B65,C65&lt;&gt;""),"Date d’échéance invalide",IF(MAX(W65,-W65)&gt;0.01,"Écart de calcul à vérifier",IF(AND(R65&lt;&gt;"Payé",C65&lt;'Paramètres'!$B$6,C65&lt;&gt;""),"Échéance dépassée","OK"))))))</f>
        <v/>
      </c>
      <c r="Y65" s="16" t="n"/>
    </row>
    <row r="66">
      <c r="A66" s="16" t="n"/>
      <c r="B66" s="17" t="n"/>
      <c r="C66" s="17" t="n"/>
      <c r="D66" s="16" t="n"/>
      <c r="E66" s="18">
        <f>IF(D66="","",IFERROR(VLOOKUP(D66,'Clients'!$A$4:$J$103,2,FALSE),"Client introuvable"))</f>
        <v/>
      </c>
      <c r="F66" s="16" t="n"/>
      <c r="G66" s="16" t="n"/>
      <c r="H66" s="16" t="n"/>
      <c r="I66" s="19" t="n"/>
      <c r="J66" s="20">
        <f>IF(H66="","",IFERROR(VLOOKUP(H66,'Paramètres'!$A$12:$D$14,3,FALSE),0))</f>
        <v/>
      </c>
      <c r="K66" s="21">
        <f>IF(I66="","",ROUND(I66*J66,2))</f>
        <v/>
      </c>
      <c r="L66" s="20">
        <f>IF(H66="","",IFERROR(VLOOKUP(H66,'Paramètres'!$A$12:$D$14,4,FALSE),0))</f>
        <v/>
      </c>
      <c r="M66" s="21">
        <f>IF(I66="","",ROUND(I66*L66,2))</f>
        <v/>
      </c>
      <c r="N66" s="21">
        <f>IF(I66="","",ROUND(I66+K66+M66,2))</f>
        <v/>
      </c>
      <c r="O66" s="19" t="n"/>
      <c r="P66" s="17" t="n"/>
      <c r="Q66" s="16" t="n"/>
      <c r="R66" s="18">
        <f>IF(A66="","",IF(O66&lt;=0,"Non payé",IF(O66&lt;N66,"Partiellement payé",IF(O66&gt;N66,"À vérifier","Payé"))))</f>
        <v/>
      </c>
      <c r="S66" s="21">
        <f>IF(A66="","",ROUND(N66-O66,2))</f>
        <v/>
      </c>
      <c r="T66" s="21">
        <f>IF(A66="","",IFERROR(MIN(I66,ROUND(O66/N66*I66,2)),0))</f>
        <v/>
      </c>
      <c r="U66" s="21">
        <f>IF(A66="","",IFERROR(ROUND(O66/N66*K66,2),0))</f>
        <v/>
      </c>
      <c r="V66" s="21">
        <f>IF(A66="","",IFERROR(ROUND(O66/N66*M66,2),0))</f>
        <v/>
      </c>
      <c r="W66" s="21">
        <f>IF(A66="","",ROUND(N66-(I66+K66+M66),2))</f>
        <v/>
      </c>
      <c r="X66" s="18">
        <f>IF(A66="","",IF(E66="Client introuvable","Code client introuvable",IF(O66&gt;N66,"Encaissement supérieur au total",IF(AND(C66&lt;B66,C66&lt;&gt;""),"Date d’échéance invalide",IF(MAX(W66,-W66)&gt;0.01,"Écart de calcul à vérifier",IF(AND(R66&lt;&gt;"Payé",C66&lt;'Paramètres'!$B$6,C66&lt;&gt;""),"Échéance dépassée","OK"))))))</f>
        <v/>
      </c>
      <c r="Y66" s="16" t="n"/>
    </row>
    <row r="67">
      <c r="A67" s="16" t="n"/>
      <c r="B67" s="17" t="n"/>
      <c r="C67" s="17" t="n"/>
      <c r="D67" s="16" t="n"/>
      <c r="E67" s="18">
        <f>IF(D67="","",IFERROR(VLOOKUP(D67,'Clients'!$A$4:$J$103,2,FALSE),"Client introuvable"))</f>
        <v/>
      </c>
      <c r="F67" s="16" t="n"/>
      <c r="G67" s="16" t="n"/>
      <c r="H67" s="16" t="n"/>
      <c r="I67" s="19" t="n"/>
      <c r="J67" s="20">
        <f>IF(H67="","",IFERROR(VLOOKUP(H67,'Paramètres'!$A$12:$D$14,3,FALSE),0))</f>
        <v/>
      </c>
      <c r="K67" s="21">
        <f>IF(I67="","",ROUND(I67*J67,2))</f>
        <v/>
      </c>
      <c r="L67" s="20">
        <f>IF(H67="","",IFERROR(VLOOKUP(H67,'Paramètres'!$A$12:$D$14,4,FALSE),0))</f>
        <v/>
      </c>
      <c r="M67" s="21">
        <f>IF(I67="","",ROUND(I67*L67,2))</f>
        <v/>
      </c>
      <c r="N67" s="21">
        <f>IF(I67="","",ROUND(I67+K67+M67,2))</f>
        <v/>
      </c>
      <c r="O67" s="19" t="n"/>
      <c r="P67" s="17" t="n"/>
      <c r="Q67" s="16" t="n"/>
      <c r="R67" s="18">
        <f>IF(A67="","",IF(O67&lt;=0,"Non payé",IF(O67&lt;N67,"Partiellement payé",IF(O67&gt;N67,"À vérifier","Payé"))))</f>
        <v/>
      </c>
      <c r="S67" s="21">
        <f>IF(A67="","",ROUND(N67-O67,2))</f>
        <v/>
      </c>
      <c r="T67" s="21">
        <f>IF(A67="","",IFERROR(MIN(I67,ROUND(O67/N67*I67,2)),0))</f>
        <v/>
      </c>
      <c r="U67" s="21">
        <f>IF(A67="","",IFERROR(ROUND(O67/N67*K67,2),0))</f>
        <v/>
      </c>
      <c r="V67" s="21">
        <f>IF(A67="","",IFERROR(ROUND(O67/N67*M67,2),0))</f>
        <v/>
      </c>
      <c r="W67" s="21">
        <f>IF(A67="","",ROUND(N67-(I67+K67+M67),2))</f>
        <v/>
      </c>
      <c r="X67" s="18">
        <f>IF(A67="","",IF(E67="Client introuvable","Code client introuvable",IF(O67&gt;N67,"Encaissement supérieur au total",IF(AND(C67&lt;B67,C67&lt;&gt;""),"Date d’échéance invalide",IF(MAX(W67,-W67)&gt;0.01,"Écart de calcul à vérifier",IF(AND(R67&lt;&gt;"Payé",C67&lt;'Paramètres'!$B$6,C67&lt;&gt;""),"Échéance dépassée","OK"))))))</f>
        <v/>
      </c>
      <c r="Y67" s="16" t="n"/>
    </row>
    <row r="68">
      <c r="A68" s="16" t="n"/>
      <c r="B68" s="17" t="n"/>
      <c r="C68" s="17" t="n"/>
      <c r="D68" s="16" t="n"/>
      <c r="E68" s="18">
        <f>IF(D68="","",IFERROR(VLOOKUP(D68,'Clients'!$A$4:$J$103,2,FALSE),"Client introuvable"))</f>
        <v/>
      </c>
      <c r="F68" s="16" t="n"/>
      <c r="G68" s="16" t="n"/>
      <c r="H68" s="16" t="n"/>
      <c r="I68" s="19" t="n"/>
      <c r="J68" s="20">
        <f>IF(H68="","",IFERROR(VLOOKUP(H68,'Paramètres'!$A$12:$D$14,3,FALSE),0))</f>
        <v/>
      </c>
      <c r="K68" s="21">
        <f>IF(I68="","",ROUND(I68*J68,2))</f>
        <v/>
      </c>
      <c r="L68" s="20">
        <f>IF(H68="","",IFERROR(VLOOKUP(H68,'Paramètres'!$A$12:$D$14,4,FALSE),0))</f>
        <v/>
      </c>
      <c r="M68" s="21">
        <f>IF(I68="","",ROUND(I68*L68,2))</f>
        <v/>
      </c>
      <c r="N68" s="21">
        <f>IF(I68="","",ROUND(I68+K68+M68,2))</f>
        <v/>
      </c>
      <c r="O68" s="19" t="n"/>
      <c r="P68" s="17" t="n"/>
      <c r="Q68" s="16" t="n"/>
      <c r="R68" s="18">
        <f>IF(A68="","",IF(O68&lt;=0,"Non payé",IF(O68&lt;N68,"Partiellement payé",IF(O68&gt;N68,"À vérifier","Payé"))))</f>
        <v/>
      </c>
      <c r="S68" s="21">
        <f>IF(A68="","",ROUND(N68-O68,2))</f>
        <v/>
      </c>
      <c r="T68" s="21">
        <f>IF(A68="","",IFERROR(MIN(I68,ROUND(O68/N68*I68,2)),0))</f>
        <v/>
      </c>
      <c r="U68" s="21">
        <f>IF(A68="","",IFERROR(ROUND(O68/N68*K68,2),0))</f>
        <v/>
      </c>
      <c r="V68" s="21">
        <f>IF(A68="","",IFERROR(ROUND(O68/N68*M68,2),0))</f>
        <v/>
      </c>
      <c r="W68" s="21">
        <f>IF(A68="","",ROUND(N68-(I68+K68+M68),2))</f>
        <v/>
      </c>
      <c r="X68" s="18">
        <f>IF(A68="","",IF(E68="Client introuvable","Code client introuvable",IF(O68&gt;N68,"Encaissement supérieur au total",IF(AND(C68&lt;B68,C68&lt;&gt;""),"Date d’échéance invalide",IF(MAX(W68,-W68)&gt;0.01,"Écart de calcul à vérifier",IF(AND(R68&lt;&gt;"Payé",C68&lt;'Paramètres'!$B$6,C68&lt;&gt;""),"Échéance dépassée","OK"))))))</f>
        <v/>
      </c>
      <c r="Y68" s="16" t="n"/>
    </row>
    <row r="69">
      <c r="A69" s="16" t="n"/>
      <c r="B69" s="17" t="n"/>
      <c r="C69" s="17" t="n"/>
      <c r="D69" s="16" t="n"/>
      <c r="E69" s="18">
        <f>IF(D69="","",IFERROR(VLOOKUP(D69,'Clients'!$A$4:$J$103,2,FALSE),"Client introuvable"))</f>
        <v/>
      </c>
      <c r="F69" s="16" t="n"/>
      <c r="G69" s="16" t="n"/>
      <c r="H69" s="16" t="n"/>
      <c r="I69" s="19" t="n"/>
      <c r="J69" s="20">
        <f>IF(H69="","",IFERROR(VLOOKUP(H69,'Paramètres'!$A$12:$D$14,3,FALSE),0))</f>
        <v/>
      </c>
      <c r="K69" s="21">
        <f>IF(I69="","",ROUND(I69*J69,2))</f>
        <v/>
      </c>
      <c r="L69" s="20">
        <f>IF(H69="","",IFERROR(VLOOKUP(H69,'Paramètres'!$A$12:$D$14,4,FALSE),0))</f>
        <v/>
      </c>
      <c r="M69" s="21">
        <f>IF(I69="","",ROUND(I69*L69,2))</f>
        <v/>
      </c>
      <c r="N69" s="21">
        <f>IF(I69="","",ROUND(I69+K69+M69,2))</f>
        <v/>
      </c>
      <c r="O69" s="19" t="n"/>
      <c r="P69" s="17" t="n"/>
      <c r="Q69" s="16" t="n"/>
      <c r="R69" s="18">
        <f>IF(A69="","",IF(O69&lt;=0,"Non payé",IF(O69&lt;N69,"Partiellement payé",IF(O69&gt;N69,"À vérifier","Payé"))))</f>
        <v/>
      </c>
      <c r="S69" s="21">
        <f>IF(A69="","",ROUND(N69-O69,2))</f>
        <v/>
      </c>
      <c r="T69" s="21">
        <f>IF(A69="","",IFERROR(MIN(I69,ROUND(O69/N69*I69,2)),0))</f>
        <v/>
      </c>
      <c r="U69" s="21">
        <f>IF(A69="","",IFERROR(ROUND(O69/N69*K69,2),0))</f>
        <v/>
      </c>
      <c r="V69" s="21">
        <f>IF(A69="","",IFERROR(ROUND(O69/N69*M69,2),0))</f>
        <v/>
      </c>
      <c r="W69" s="21">
        <f>IF(A69="","",ROUND(N69-(I69+K69+M69),2))</f>
        <v/>
      </c>
      <c r="X69" s="18">
        <f>IF(A69="","",IF(E69="Client introuvable","Code client introuvable",IF(O69&gt;N69,"Encaissement supérieur au total",IF(AND(C69&lt;B69,C69&lt;&gt;""),"Date d’échéance invalide",IF(MAX(W69,-W69)&gt;0.01,"Écart de calcul à vérifier",IF(AND(R69&lt;&gt;"Payé",C69&lt;'Paramètres'!$B$6,C69&lt;&gt;""),"Échéance dépassée","OK"))))))</f>
        <v/>
      </c>
      <c r="Y69" s="16" t="n"/>
    </row>
    <row r="70">
      <c r="A70" s="16" t="n"/>
      <c r="B70" s="17" t="n"/>
      <c r="C70" s="17" t="n"/>
      <c r="D70" s="16" t="n"/>
      <c r="E70" s="18">
        <f>IF(D70="","",IFERROR(VLOOKUP(D70,'Clients'!$A$4:$J$103,2,FALSE),"Client introuvable"))</f>
        <v/>
      </c>
      <c r="F70" s="16" t="n"/>
      <c r="G70" s="16" t="n"/>
      <c r="H70" s="16" t="n"/>
      <c r="I70" s="19" t="n"/>
      <c r="J70" s="20">
        <f>IF(H70="","",IFERROR(VLOOKUP(H70,'Paramètres'!$A$12:$D$14,3,FALSE),0))</f>
        <v/>
      </c>
      <c r="K70" s="21">
        <f>IF(I70="","",ROUND(I70*J70,2))</f>
        <v/>
      </c>
      <c r="L70" s="20">
        <f>IF(H70="","",IFERROR(VLOOKUP(H70,'Paramètres'!$A$12:$D$14,4,FALSE),0))</f>
        <v/>
      </c>
      <c r="M70" s="21">
        <f>IF(I70="","",ROUND(I70*L70,2))</f>
        <v/>
      </c>
      <c r="N70" s="21">
        <f>IF(I70="","",ROUND(I70+K70+M70,2))</f>
        <v/>
      </c>
      <c r="O70" s="19" t="n"/>
      <c r="P70" s="17" t="n"/>
      <c r="Q70" s="16" t="n"/>
      <c r="R70" s="18">
        <f>IF(A70="","",IF(O70&lt;=0,"Non payé",IF(O70&lt;N70,"Partiellement payé",IF(O70&gt;N70,"À vérifier","Payé"))))</f>
        <v/>
      </c>
      <c r="S70" s="21">
        <f>IF(A70="","",ROUND(N70-O70,2))</f>
        <v/>
      </c>
      <c r="T70" s="21">
        <f>IF(A70="","",IFERROR(MIN(I70,ROUND(O70/N70*I70,2)),0))</f>
        <v/>
      </c>
      <c r="U70" s="21">
        <f>IF(A70="","",IFERROR(ROUND(O70/N70*K70,2),0))</f>
        <v/>
      </c>
      <c r="V70" s="21">
        <f>IF(A70="","",IFERROR(ROUND(O70/N70*M70,2),0))</f>
        <v/>
      </c>
      <c r="W70" s="21">
        <f>IF(A70="","",ROUND(N70-(I70+K70+M70),2))</f>
        <v/>
      </c>
      <c r="X70" s="18">
        <f>IF(A70="","",IF(E70="Client introuvable","Code client introuvable",IF(O70&gt;N70,"Encaissement supérieur au total",IF(AND(C70&lt;B70,C70&lt;&gt;""),"Date d’échéance invalide",IF(MAX(W70,-W70)&gt;0.01,"Écart de calcul à vérifier",IF(AND(R70&lt;&gt;"Payé",C70&lt;'Paramètres'!$B$6,C70&lt;&gt;""),"Échéance dépassée","OK"))))))</f>
        <v/>
      </c>
      <c r="Y70" s="16" t="n"/>
    </row>
    <row r="71">
      <c r="A71" s="16" t="n"/>
      <c r="B71" s="17" t="n"/>
      <c r="C71" s="17" t="n"/>
      <c r="D71" s="16" t="n"/>
      <c r="E71" s="18">
        <f>IF(D71="","",IFERROR(VLOOKUP(D71,'Clients'!$A$4:$J$103,2,FALSE),"Client introuvable"))</f>
        <v/>
      </c>
      <c r="F71" s="16" t="n"/>
      <c r="G71" s="16" t="n"/>
      <c r="H71" s="16" t="n"/>
      <c r="I71" s="19" t="n"/>
      <c r="J71" s="20">
        <f>IF(H71="","",IFERROR(VLOOKUP(H71,'Paramètres'!$A$12:$D$14,3,FALSE),0))</f>
        <v/>
      </c>
      <c r="K71" s="21">
        <f>IF(I71="","",ROUND(I71*J71,2))</f>
        <v/>
      </c>
      <c r="L71" s="20">
        <f>IF(H71="","",IFERROR(VLOOKUP(H71,'Paramètres'!$A$12:$D$14,4,FALSE),0))</f>
        <v/>
      </c>
      <c r="M71" s="21">
        <f>IF(I71="","",ROUND(I71*L71,2))</f>
        <v/>
      </c>
      <c r="N71" s="21">
        <f>IF(I71="","",ROUND(I71+K71+M71,2))</f>
        <v/>
      </c>
      <c r="O71" s="19" t="n"/>
      <c r="P71" s="17" t="n"/>
      <c r="Q71" s="16" t="n"/>
      <c r="R71" s="18">
        <f>IF(A71="","",IF(O71&lt;=0,"Non payé",IF(O71&lt;N71,"Partiellement payé",IF(O71&gt;N71,"À vérifier","Payé"))))</f>
        <v/>
      </c>
      <c r="S71" s="21">
        <f>IF(A71="","",ROUND(N71-O71,2))</f>
        <v/>
      </c>
      <c r="T71" s="21">
        <f>IF(A71="","",IFERROR(MIN(I71,ROUND(O71/N71*I71,2)),0))</f>
        <v/>
      </c>
      <c r="U71" s="21">
        <f>IF(A71="","",IFERROR(ROUND(O71/N71*K71,2),0))</f>
        <v/>
      </c>
      <c r="V71" s="21">
        <f>IF(A71="","",IFERROR(ROUND(O71/N71*M71,2),0))</f>
        <v/>
      </c>
      <c r="W71" s="21">
        <f>IF(A71="","",ROUND(N71-(I71+K71+M71),2))</f>
        <v/>
      </c>
      <c r="X71" s="18">
        <f>IF(A71="","",IF(E71="Client introuvable","Code client introuvable",IF(O71&gt;N71,"Encaissement supérieur au total",IF(AND(C71&lt;B71,C71&lt;&gt;""),"Date d’échéance invalide",IF(MAX(W71,-W71)&gt;0.01,"Écart de calcul à vérifier",IF(AND(R71&lt;&gt;"Payé",C71&lt;'Paramètres'!$B$6,C71&lt;&gt;""),"Échéance dépassée","OK"))))))</f>
        <v/>
      </c>
      <c r="Y71" s="16" t="n"/>
    </row>
    <row r="72">
      <c r="A72" s="16" t="n"/>
      <c r="B72" s="17" t="n"/>
      <c r="C72" s="17" t="n"/>
      <c r="D72" s="16" t="n"/>
      <c r="E72" s="18">
        <f>IF(D72="","",IFERROR(VLOOKUP(D72,'Clients'!$A$4:$J$103,2,FALSE),"Client introuvable"))</f>
        <v/>
      </c>
      <c r="F72" s="16" t="n"/>
      <c r="G72" s="16" t="n"/>
      <c r="H72" s="16" t="n"/>
      <c r="I72" s="19" t="n"/>
      <c r="J72" s="20">
        <f>IF(H72="","",IFERROR(VLOOKUP(H72,'Paramètres'!$A$12:$D$14,3,FALSE),0))</f>
        <v/>
      </c>
      <c r="K72" s="21">
        <f>IF(I72="","",ROUND(I72*J72,2))</f>
        <v/>
      </c>
      <c r="L72" s="20">
        <f>IF(H72="","",IFERROR(VLOOKUP(H72,'Paramètres'!$A$12:$D$14,4,FALSE),0))</f>
        <v/>
      </c>
      <c r="M72" s="21">
        <f>IF(I72="","",ROUND(I72*L72,2))</f>
        <v/>
      </c>
      <c r="N72" s="21">
        <f>IF(I72="","",ROUND(I72+K72+M72,2))</f>
        <v/>
      </c>
      <c r="O72" s="19" t="n"/>
      <c r="P72" s="17" t="n"/>
      <c r="Q72" s="16" t="n"/>
      <c r="R72" s="18">
        <f>IF(A72="","",IF(O72&lt;=0,"Non payé",IF(O72&lt;N72,"Partiellement payé",IF(O72&gt;N72,"À vérifier","Payé"))))</f>
        <v/>
      </c>
      <c r="S72" s="21">
        <f>IF(A72="","",ROUND(N72-O72,2))</f>
        <v/>
      </c>
      <c r="T72" s="21">
        <f>IF(A72="","",IFERROR(MIN(I72,ROUND(O72/N72*I72,2)),0))</f>
        <v/>
      </c>
      <c r="U72" s="21">
        <f>IF(A72="","",IFERROR(ROUND(O72/N72*K72,2),0))</f>
        <v/>
      </c>
      <c r="V72" s="21">
        <f>IF(A72="","",IFERROR(ROUND(O72/N72*M72,2),0))</f>
        <v/>
      </c>
      <c r="W72" s="21">
        <f>IF(A72="","",ROUND(N72-(I72+K72+M72),2))</f>
        <v/>
      </c>
      <c r="X72" s="18">
        <f>IF(A72="","",IF(E72="Client introuvable","Code client introuvable",IF(O72&gt;N72,"Encaissement supérieur au total",IF(AND(C72&lt;B72,C72&lt;&gt;""),"Date d’échéance invalide",IF(MAX(W72,-W72)&gt;0.01,"Écart de calcul à vérifier",IF(AND(R72&lt;&gt;"Payé",C72&lt;'Paramètres'!$B$6,C72&lt;&gt;""),"Échéance dépassée","OK"))))))</f>
        <v/>
      </c>
      <c r="Y72" s="16" t="n"/>
    </row>
    <row r="73">
      <c r="A73" s="16" t="n"/>
      <c r="B73" s="17" t="n"/>
      <c r="C73" s="17" t="n"/>
      <c r="D73" s="16" t="n"/>
      <c r="E73" s="18">
        <f>IF(D73="","",IFERROR(VLOOKUP(D73,'Clients'!$A$4:$J$103,2,FALSE),"Client introuvable"))</f>
        <v/>
      </c>
      <c r="F73" s="16" t="n"/>
      <c r="G73" s="16" t="n"/>
      <c r="H73" s="16" t="n"/>
      <c r="I73" s="19" t="n"/>
      <c r="J73" s="20">
        <f>IF(H73="","",IFERROR(VLOOKUP(H73,'Paramètres'!$A$12:$D$14,3,FALSE),0))</f>
        <v/>
      </c>
      <c r="K73" s="21">
        <f>IF(I73="","",ROUND(I73*J73,2))</f>
        <v/>
      </c>
      <c r="L73" s="20">
        <f>IF(H73="","",IFERROR(VLOOKUP(H73,'Paramètres'!$A$12:$D$14,4,FALSE),0))</f>
        <v/>
      </c>
      <c r="M73" s="21">
        <f>IF(I73="","",ROUND(I73*L73,2))</f>
        <v/>
      </c>
      <c r="N73" s="21">
        <f>IF(I73="","",ROUND(I73+K73+M73,2))</f>
        <v/>
      </c>
      <c r="O73" s="19" t="n"/>
      <c r="P73" s="17" t="n"/>
      <c r="Q73" s="16" t="n"/>
      <c r="R73" s="18">
        <f>IF(A73="","",IF(O73&lt;=0,"Non payé",IF(O73&lt;N73,"Partiellement payé",IF(O73&gt;N73,"À vérifier","Payé"))))</f>
        <v/>
      </c>
      <c r="S73" s="21">
        <f>IF(A73="","",ROUND(N73-O73,2))</f>
        <v/>
      </c>
      <c r="T73" s="21">
        <f>IF(A73="","",IFERROR(MIN(I73,ROUND(O73/N73*I73,2)),0))</f>
        <v/>
      </c>
      <c r="U73" s="21">
        <f>IF(A73="","",IFERROR(ROUND(O73/N73*K73,2),0))</f>
        <v/>
      </c>
      <c r="V73" s="21">
        <f>IF(A73="","",IFERROR(ROUND(O73/N73*M73,2),0))</f>
        <v/>
      </c>
      <c r="W73" s="21">
        <f>IF(A73="","",ROUND(N73-(I73+K73+M73),2))</f>
        <v/>
      </c>
      <c r="X73" s="18">
        <f>IF(A73="","",IF(E73="Client introuvable","Code client introuvable",IF(O73&gt;N73,"Encaissement supérieur au total",IF(AND(C73&lt;B73,C73&lt;&gt;""),"Date d’échéance invalide",IF(MAX(W73,-W73)&gt;0.01,"Écart de calcul à vérifier",IF(AND(R73&lt;&gt;"Payé",C73&lt;'Paramètres'!$B$6,C73&lt;&gt;""),"Échéance dépassée","OK"))))))</f>
        <v/>
      </c>
      <c r="Y73" s="16" t="n"/>
    </row>
    <row r="74">
      <c r="A74" s="16" t="n"/>
      <c r="B74" s="17" t="n"/>
      <c r="C74" s="17" t="n"/>
      <c r="D74" s="16" t="n"/>
      <c r="E74" s="18">
        <f>IF(D74="","",IFERROR(VLOOKUP(D74,'Clients'!$A$4:$J$103,2,FALSE),"Client introuvable"))</f>
        <v/>
      </c>
      <c r="F74" s="16" t="n"/>
      <c r="G74" s="16" t="n"/>
      <c r="H74" s="16" t="n"/>
      <c r="I74" s="19" t="n"/>
      <c r="J74" s="20">
        <f>IF(H74="","",IFERROR(VLOOKUP(H74,'Paramètres'!$A$12:$D$14,3,FALSE),0))</f>
        <v/>
      </c>
      <c r="K74" s="21">
        <f>IF(I74="","",ROUND(I74*J74,2))</f>
        <v/>
      </c>
      <c r="L74" s="20">
        <f>IF(H74="","",IFERROR(VLOOKUP(H74,'Paramètres'!$A$12:$D$14,4,FALSE),0))</f>
        <v/>
      </c>
      <c r="M74" s="21">
        <f>IF(I74="","",ROUND(I74*L74,2))</f>
        <v/>
      </c>
      <c r="N74" s="21">
        <f>IF(I74="","",ROUND(I74+K74+M74,2))</f>
        <v/>
      </c>
      <c r="O74" s="19" t="n"/>
      <c r="P74" s="17" t="n"/>
      <c r="Q74" s="16" t="n"/>
      <c r="R74" s="18">
        <f>IF(A74="","",IF(O74&lt;=0,"Non payé",IF(O74&lt;N74,"Partiellement payé",IF(O74&gt;N74,"À vérifier","Payé"))))</f>
        <v/>
      </c>
      <c r="S74" s="21">
        <f>IF(A74="","",ROUND(N74-O74,2))</f>
        <v/>
      </c>
      <c r="T74" s="21">
        <f>IF(A74="","",IFERROR(MIN(I74,ROUND(O74/N74*I74,2)),0))</f>
        <v/>
      </c>
      <c r="U74" s="21">
        <f>IF(A74="","",IFERROR(ROUND(O74/N74*K74,2),0))</f>
        <v/>
      </c>
      <c r="V74" s="21">
        <f>IF(A74="","",IFERROR(ROUND(O74/N74*M74,2),0))</f>
        <v/>
      </c>
      <c r="W74" s="21">
        <f>IF(A74="","",ROUND(N74-(I74+K74+M74),2))</f>
        <v/>
      </c>
      <c r="X74" s="18">
        <f>IF(A74="","",IF(E74="Client introuvable","Code client introuvable",IF(O74&gt;N74,"Encaissement supérieur au total",IF(AND(C74&lt;B74,C74&lt;&gt;""),"Date d’échéance invalide",IF(MAX(W74,-W74)&gt;0.01,"Écart de calcul à vérifier",IF(AND(R74&lt;&gt;"Payé",C74&lt;'Paramètres'!$B$6,C74&lt;&gt;""),"Échéance dépassée","OK"))))))</f>
        <v/>
      </c>
      <c r="Y74" s="16" t="n"/>
    </row>
    <row r="75">
      <c r="A75" s="16" t="n"/>
      <c r="B75" s="17" t="n"/>
      <c r="C75" s="17" t="n"/>
      <c r="D75" s="16" t="n"/>
      <c r="E75" s="18">
        <f>IF(D75="","",IFERROR(VLOOKUP(D75,'Clients'!$A$4:$J$103,2,FALSE),"Client introuvable"))</f>
        <v/>
      </c>
      <c r="F75" s="16" t="n"/>
      <c r="G75" s="16" t="n"/>
      <c r="H75" s="16" t="n"/>
      <c r="I75" s="19" t="n"/>
      <c r="J75" s="20">
        <f>IF(H75="","",IFERROR(VLOOKUP(H75,'Paramètres'!$A$12:$D$14,3,FALSE),0))</f>
        <v/>
      </c>
      <c r="K75" s="21">
        <f>IF(I75="","",ROUND(I75*J75,2))</f>
        <v/>
      </c>
      <c r="L75" s="20">
        <f>IF(H75="","",IFERROR(VLOOKUP(H75,'Paramètres'!$A$12:$D$14,4,FALSE),0))</f>
        <v/>
      </c>
      <c r="M75" s="21">
        <f>IF(I75="","",ROUND(I75*L75,2))</f>
        <v/>
      </c>
      <c r="N75" s="21">
        <f>IF(I75="","",ROUND(I75+K75+M75,2))</f>
        <v/>
      </c>
      <c r="O75" s="19" t="n"/>
      <c r="P75" s="17" t="n"/>
      <c r="Q75" s="16" t="n"/>
      <c r="R75" s="18">
        <f>IF(A75="","",IF(O75&lt;=0,"Non payé",IF(O75&lt;N75,"Partiellement payé",IF(O75&gt;N75,"À vérifier","Payé"))))</f>
        <v/>
      </c>
      <c r="S75" s="21">
        <f>IF(A75="","",ROUND(N75-O75,2))</f>
        <v/>
      </c>
      <c r="T75" s="21">
        <f>IF(A75="","",IFERROR(MIN(I75,ROUND(O75/N75*I75,2)),0))</f>
        <v/>
      </c>
      <c r="U75" s="21">
        <f>IF(A75="","",IFERROR(ROUND(O75/N75*K75,2),0))</f>
        <v/>
      </c>
      <c r="V75" s="21">
        <f>IF(A75="","",IFERROR(ROUND(O75/N75*M75,2),0))</f>
        <v/>
      </c>
      <c r="W75" s="21">
        <f>IF(A75="","",ROUND(N75-(I75+K75+M75),2))</f>
        <v/>
      </c>
      <c r="X75" s="18">
        <f>IF(A75="","",IF(E75="Client introuvable","Code client introuvable",IF(O75&gt;N75,"Encaissement supérieur au total",IF(AND(C75&lt;B75,C75&lt;&gt;""),"Date d’échéance invalide",IF(MAX(W75,-W75)&gt;0.01,"Écart de calcul à vérifier",IF(AND(R75&lt;&gt;"Payé",C75&lt;'Paramètres'!$B$6,C75&lt;&gt;""),"Échéance dépassée","OK"))))))</f>
        <v/>
      </c>
      <c r="Y75" s="16" t="n"/>
    </row>
    <row r="76">
      <c r="A76" s="16" t="n"/>
      <c r="B76" s="17" t="n"/>
      <c r="C76" s="17" t="n"/>
      <c r="D76" s="16" t="n"/>
      <c r="E76" s="18">
        <f>IF(D76="","",IFERROR(VLOOKUP(D76,'Clients'!$A$4:$J$103,2,FALSE),"Client introuvable"))</f>
        <v/>
      </c>
      <c r="F76" s="16" t="n"/>
      <c r="G76" s="16" t="n"/>
      <c r="H76" s="16" t="n"/>
      <c r="I76" s="19" t="n"/>
      <c r="J76" s="20">
        <f>IF(H76="","",IFERROR(VLOOKUP(H76,'Paramètres'!$A$12:$D$14,3,FALSE),0))</f>
        <v/>
      </c>
      <c r="K76" s="21">
        <f>IF(I76="","",ROUND(I76*J76,2))</f>
        <v/>
      </c>
      <c r="L76" s="20">
        <f>IF(H76="","",IFERROR(VLOOKUP(H76,'Paramètres'!$A$12:$D$14,4,FALSE),0))</f>
        <v/>
      </c>
      <c r="M76" s="21">
        <f>IF(I76="","",ROUND(I76*L76,2))</f>
        <v/>
      </c>
      <c r="N76" s="21">
        <f>IF(I76="","",ROUND(I76+K76+M76,2))</f>
        <v/>
      </c>
      <c r="O76" s="19" t="n"/>
      <c r="P76" s="17" t="n"/>
      <c r="Q76" s="16" t="n"/>
      <c r="R76" s="18">
        <f>IF(A76="","",IF(O76&lt;=0,"Non payé",IF(O76&lt;N76,"Partiellement payé",IF(O76&gt;N76,"À vérifier","Payé"))))</f>
        <v/>
      </c>
      <c r="S76" s="21">
        <f>IF(A76="","",ROUND(N76-O76,2))</f>
        <v/>
      </c>
      <c r="T76" s="21">
        <f>IF(A76="","",IFERROR(MIN(I76,ROUND(O76/N76*I76,2)),0))</f>
        <v/>
      </c>
      <c r="U76" s="21">
        <f>IF(A76="","",IFERROR(ROUND(O76/N76*K76,2),0))</f>
        <v/>
      </c>
      <c r="V76" s="21">
        <f>IF(A76="","",IFERROR(ROUND(O76/N76*M76,2),0))</f>
        <v/>
      </c>
      <c r="W76" s="21">
        <f>IF(A76="","",ROUND(N76-(I76+K76+M76),2))</f>
        <v/>
      </c>
      <c r="X76" s="18">
        <f>IF(A76="","",IF(E76="Client introuvable","Code client introuvable",IF(O76&gt;N76,"Encaissement supérieur au total",IF(AND(C76&lt;B76,C76&lt;&gt;""),"Date d’échéance invalide",IF(MAX(W76,-W76)&gt;0.01,"Écart de calcul à vérifier",IF(AND(R76&lt;&gt;"Payé",C76&lt;'Paramètres'!$B$6,C76&lt;&gt;""),"Échéance dépassée","OK"))))))</f>
        <v/>
      </c>
      <c r="Y76" s="16" t="n"/>
    </row>
    <row r="77">
      <c r="A77" s="16" t="n"/>
      <c r="B77" s="17" t="n"/>
      <c r="C77" s="17" t="n"/>
      <c r="D77" s="16" t="n"/>
      <c r="E77" s="18">
        <f>IF(D77="","",IFERROR(VLOOKUP(D77,'Clients'!$A$4:$J$103,2,FALSE),"Client introuvable"))</f>
        <v/>
      </c>
      <c r="F77" s="16" t="n"/>
      <c r="G77" s="16" t="n"/>
      <c r="H77" s="16" t="n"/>
      <c r="I77" s="19" t="n"/>
      <c r="J77" s="20">
        <f>IF(H77="","",IFERROR(VLOOKUP(H77,'Paramètres'!$A$12:$D$14,3,FALSE),0))</f>
        <v/>
      </c>
      <c r="K77" s="21">
        <f>IF(I77="","",ROUND(I77*J77,2))</f>
        <v/>
      </c>
      <c r="L77" s="20">
        <f>IF(H77="","",IFERROR(VLOOKUP(H77,'Paramètres'!$A$12:$D$14,4,FALSE),0))</f>
        <v/>
      </c>
      <c r="M77" s="21">
        <f>IF(I77="","",ROUND(I77*L77,2))</f>
        <v/>
      </c>
      <c r="N77" s="21">
        <f>IF(I77="","",ROUND(I77+K77+M77,2))</f>
        <v/>
      </c>
      <c r="O77" s="19" t="n"/>
      <c r="P77" s="17" t="n"/>
      <c r="Q77" s="16" t="n"/>
      <c r="R77" s="18">
        <f>IF(A77="","",IF(O77&lt;=0,"Non payé",IF(O77&lt;N77,"Partiellement payé",IF(O77&gt;N77,"À vérifier","Payé"))))</f>
        <v/>
      </c>
      <c r="S77" s="21">
        <f>IF(A77="","",ROUND(N77-O77,2))</f>
        <v/>
      </c>
      <c r="T77" s="21">
        <f>IF(A77="","",IFERROR(MIN(I77,ROUND(O77/N77*I77,2)),0))</f>
        <v/>
      </c>
      <c r="U77" s="21">
        <f>IF(A77="","",IFERROR(ROUND(O77/N77*K77,2),0))</f>
        <v/>
      </c>
      <c r="V77" s="21">
        <f>IF(A77="","",IFERROR(ROUND(O77/N77*M77,2),0))</f>
        <v/>
      </c>
      <c r="W77" s="21">
        <f>IF(A77="","",ROUND(N77-(I77+K77+M77),2))</f>
        <v/>
      </c>
      <c r="X77" s="18">
        <f>IF(A77="","",IF(E77="Client introuvable","Code client introuvable",IF(O77&gt;N77,"Encaissement supérieur au total",IF(AND(C77&lt;B77,C77&lt;&gt;""),"Date d’échéance invalide",IF(MAX(W77,-W77)&gt;0.01,"Écart de calcul à vérifier",IF(AND(R77&lt;&gt;"Payé",C77&lt;'Paramètres'!$B$6,C77&lt;&gt;""),"Échéance dépassée","OK"))))))</f>
        <v/>
      </c>
      <c r="Y77" s="16" t="n"/>
    </row>
    <row r="78">
      <c r="A78" s="16" t="n"/>
      <c r="B78" s="17" t="n"/>
      <c r="C78" s="17" t="n"/>
      <c r="D78" s="16" t="n"/>
      <c r="E78" s="18">
        <f>IF(D78="","",IFERROR(VLOOKUP(D78,'Clients'!$A$4:$J$103,2,FALSE),"Client introuvable"))</f>
        <v/>
      </c>
      <c r="F78" s="16" t="n"/>
      <c r="G78" s="16" t="n"/>
      <c r="H78" s="16" t="n"/>
      <c r="I78" s="19" t="n"/>
      <c r="J78" s="20">
        <f>IF(H78="","",IFERROR(VLOOKUP(H78,'Paramètres'!$A$12:$D$14,3,FALSE),0))</f>
        <v/>
      </c>
      <c r="K78" s="21">
        <f>IF(I78="","",ROUND(I78*J78,2))</f>
        <v/>
      </c>
      <c r="L78" s="20">
        <f>IF(H78="","",IFERROR(VLOOKUP(H78,'Paramètres'!$A$12:$D$14,4,FALSE),0))</f>
        <v/>
      </c>
      <c r="M78" s="21">
        <f>IF(I78="","",ROUND(I78*L78,2))</f>
        <v/>
      </c>
      <c r="N78" s="21">
        <f>IF(I78="","",ROUND(I78+K78+M78,2))</f>
        <v/>
      </c>
      <c r="O78" s="19" t="n"/>
      <c r="P78" s="17" t="n"/>
      <c r="Q78" s="16" t="n"/>
      <c r="R78" s="18">
        <f>IF(A78="","",IF(O78&lt;=0,"Non payé",IF(O78&lt;N78,"Partiellement payé",IF(O78&gt;N78,"À vérifier","Payé"))))</f>
        <v/>
      </c>
      <c r="S78" s="21">
        <f>IF(A78="","",ROUND(N78-O78,2))</f>
        <v/>
      </c>
      <c r="T78" s="21">
        <f>IF(A78="","",IFERROR(MIN(I78,ROUND(O78/N78*I78,2)),0))</f>
        <v/>
      </c>
      <c r="U78" s="21">
        <f>IF(A78="","",IFERROR(ROUND(O78/N78*K78,2),0))</f>
        <v/>
      </c>
      <c r="V78" s="21">
        <f>IF(A78="","",IFERROR(ROUND(O78/N78*M78,2),0))</f>
        <v/>
      </c>
      <c r="W78" s="21">
        <f>IF(A78="","",ROUND(N78-(I78+K78+M78),2))</f>
        <v/>
      </c>
      <c r="X78" s="18">
        <f>IF(A78="","",IF(E78="Client introuvable","Code client introuvable",IF(O78&gt;N78,"Encaissement supérieur au total",IF(AND(C78&lt;B78,C78&lt;&gt;""),"Date d’échéance invalide",IF(MAX(W78,-W78)&gt;0.01,"Écart de calcul à vérifier",IF(AND(R78&lt;&gt;"Payé",C78&lt;'Paramètres'!$B$6,C78&lt;&gt;""),"Échéance dépassée","OK"))))))</f>
        <v/>
      </c>
      <c r="Y78" s="16" t="n"/>
    </row>
    <row r="79">
      <c r="A79" s="16" t="n"/>
      <c r="B79" s="17" t="n"/>
      <c r="C79" s="17" t="n"/>
      <c r="D79" s="16" t="n"/>
      <c r="E79" s="18">
        <f>IF(D79="","",IFERROR(VLOOKUP(D79,'Clients'!$A$4:$J$103,2,FALSE),"Client introuvable"))</f>
        <v/>
      </c>
      <c r="F79" s="16" t="n"/>
      <c r="G79" s="16" t="n"/>
      <c r="H79" s="16" t="n"/>
      <c r="I79" s="19" t="n"/>
      <c r="J79" s="20">
        <f>IF(H79="","",IFERROR(VLOOKUP(H79,'Paramètres'!$A$12:$D$14,3,FALSE),0))</f>
        <v/>
      </c>
      <c r="K79" s="21">
        <f>IF(I79="","",ROUND(I79*J79,2))</f>
        <v/>
      </c>
      <c r="L79" s="20">
        <f>IF(H79="","",IFERROR(VLOOKUP(H79,'Paramètres'!$A$12:$D$14,4,FALSE),0))</f>
        <v/>
      </c>
      <c r="M79" s="21">
        <f>IF(I79="","",ROUND(I79*L79,2))</f>
        <v/>
      </c>
      <c r="N79" s="21">
        <f>IF(I79="","",ROUND(I79+K79+M79,2))</f>
        <v/>
      </c>
      <c r="O79" s="19" t="n"/>
      <c r="P79" s="17" t="n"/>
      <c r="Q79" s="16" t="n"/>
      <c r="R79" s="18">
        <f>IF(A79="","",IF(O79&lt;=0,"Non payé",IF(O79&lt;N79,"Partiellement payé",IF(O79&gt;N79,"À vérifier","Payé"))))</f>
        <v/>
      </c>
      <c r="S79" s="21">
        <f>IF(A79="","",ROUND(N79-O79,2))</f>
        <v/>
      </c>
      <c r="T79" s="21">
        <f>IF(A79="","",IFERROR(MIN(I79,ROUND(O79/N79*I79,2)),0))</f>
        <v/>
      </c>
      <c r="U79" s="21">
        <f>IF(A79="","",IFERROR(ROUND(O79/N79*K79,2),0))</f>
        <v/>
      </c>
      <c r="V79" s="21">
        <f>IF(A79="","",IFERROR(ROUND(O79/N79*M79,2),0))</f>
        <v/>
      </c>
      <c r="W79" s="21">
        <f>IF(A79="","",ROUND(N79-(I79+K79+M79),2))</f>
        <v/>
      </c>
      <c r="X79" s="18">
        <f>IF(A79="","",IF(E79="Client introuvable","Code client introuvable",IF(O79&gt;N79,"Encaissement supérieur au total",IF(AND(C79&lt;B79,C79&lt;&gt;""),"Date d’échéance invalide",IF(MAX(W79,-W79)&gt;0.01,"Écart de calcul à vérifier",IF(AND(R79&lt;&gt;"Payé",C79&lt;'Paramètres'!$B$6,C79&lt;&gt;""),"Échéance dépassée","OK"))))))</f>
        <v/>
      </c>
      <c r="Y79" s="16" t="n"/>
    </row>
    <row r="80">
      <c r="A80" s="16" t="n"/>
      <c r="B80" s="17" t="n"/>
      <c r="C80" s="17" t="n"/>
      <c r="D80" s="16" t="n"/>
      <c r="E80" s="18">
        <f>IF(D80="","",IFERROR(VLOOKUP(D80,'Clients'!$A$4:$J$103,2,FALSE),"Client introuvable"))</f>
        <v/>
      </c>
      <c r="F80" s="16" t="n"/>
      <c r="G80" s="16" t="n"/>
      <c r="H80" s="16" t="n"/>
      <c r="I80" s="19" t="n"/>
      <c r="J80" s="20">
        <f>IF(H80="","",IFERROR(VLOOKUP(H80,'Paramètres'!$A$12:$D$14,3,FALSE),0))</f>
        <v/>
      </c>
      <c r="K80" s="21">
        <f>IF(I80="","",ROUND(I80*J80,2))</f>
        <v/>
      </c>
      <c r="L80" s="20">
        <f>IF(H80="","",IFERROR(VLOOKUP(H80,'Paramètres'!$A$12:$D$14,4,FALSE),0))</f>
        <v/>
      </c>
      <c r="M80" s="21">
        <f>IF(I80="","",ROUND(I80*L80,2))</f>
        <v/>
      </c>
      <c r="N80" s="21">
        <f>IF(I80="","",ROUND(I80+K80+M80,2))</f>
        <v/>
      </c>
      <c r="O80" s="19" t="n"/>
      <c r="P80" s="17" t="n"/>
      <c r="Q80" s="16" t="n"/>
      <c r="R80" s="18">
        <f>IF(A80="","",IF(O80&lt;=0,"Non payé",IF(O80&lt;N80,"Partiellement payé",IF(O80&gt;N80,"À vérifier","Payé"))))</f>
        <v/>
      </c>
      <c r="S80" s="21">
        <f>IF(A80="","",ROUND(N80-O80,2))</f>
        <v/>
      </c>
      <c r="T80" s="21">
        <f>IF(A80="","",IFERROR(MIN(I80,ROUND(O80/N80*I80,2)),0))</f>
        <v/>
      </c>
      <c r="U80" s="21">
        <f>IF(A80="","",IFERROR(ROUND(O80/N80*K80,2),0))</f>
        <v/>
      </c>
      <c r="V80" s="21">
        <f>IF(A80="","",IFERROR(ROUND(O80/N80*M80,2),0))</f>
        <v/>
      </c>
      <c r="W80" s="21">
        <f>IF(A80="","",ROUND(N80-(I80+K80+M80),2))</f>
        <v/>
      </c>
      <c r="X80" s="18">
        <f>IF(A80="","",IF(E80="Client introuvable","Code client introuvable",IF(O80&gt;N80,"Encaissement supérieur au total",IF(AND(C80&lt;B80,C80&lt;&gt;""),"Date d’échéance invalide",IF(MAX(W80,-W80)&gt;0.01,"Écart de calcul à vérifier",IF(AND(R80&lt;&gt;"Payé",C80&lt;'Paramètres'!$B$6,C80&lt;&gt;""),"Échéance dépassée","OK"))))))</f>
        <v/>
      </c>
      <c r="Y80" s="16" t="n"/>
    </row>
    <row r="81">
      <c r="A81" s="16" t="n"/>
      <c r="B81" s="17" t="n"/>
      <c r="C81" s="17" t="n"/>
      <c r="D81" s="16" t="n"/>
      <c r="E81" s="18">
        <f>IF(D81="","",IFERROR(VLOOKUP(D81,'Clients'!$A$4:$J$103,2,FALSE),"Client introuvable"))</f>
        <v/>
      </c>
      <c r="F81" s="16" t="n"/>
      <c r="G81" s="16" t="n"/>
      <c r="H81" s="16" t="n"/>
      <c r="I81" s="19" t="n"/>
      <c r="J81" s="20">
        <f>IF(H81="","",IFERROR(VLOOKUP(H81,'Paramètres'!$A$12:$D$14,3,FALSE),0))</f>
        <v/>
      </c>
      <c r="K81" s="21">
        <f>IF(I81="","",ROUND(I81*J81,2))</f>
        <v/>
      </c>
      <c r="L81" s="20">
        <f>IF(H81="","",IFERROR(VLOOKUP(H81,'Paramètres'!$A$12:$D$14,4,FALSE),0))</f>
        <v/>
      </c>
      <c r="M81" s="21">
        <f>IF(I81="","",ROUND(I81*L81,2))</f>
        <v/>
      </c>
      <c r="N81" s="21">
        <f>IF(I81="","",ROUND(I81+K81+M81,2))</f>
        <v/>
      </c>
      <c r="O81" s="19" t="n"/>
      <c r="P81" s="17" t="n"/>
      <c r="Q81" s="16" t="n"/>
      <c r="R81" s="18">
        <f>IF(A81="","",IF(O81&lt;=0,"Non payé",IF(O81&lt;N81,"Partiellement payé",IF(O81&gt;N81,"À vérifier","Payé"))))</f>
        <v/>
      </c>
      <c r="S81" s="21">
        <f>IF(A81="","",ROUND(N81-O81,2))</f>
        <v/>
      </c>
      <c r="T81" s="21">
        <f>IF(A81="","",IFERROR(MIN(I81,ROUND(O81/N81*I81,2)),0))</f>
        <v/>
      </c>
      <c r="U81" s="21">
        <f>IF(A81="","",IFERROR(ROUND(O81/N81*K81,2),0))</f>
        <v/>
      </c>
      <c r="V81" s="21">
        <f>IF(A81="","",IFERROR(ROUND(O81/N81*M81,2),0))</f>
        <v/>
      </c>
      <c r="W81" s="21">
        <f>IF(A81="","",ROUND(N81-(I81+K81+M81),2))</f>
        <v/>
      </c>
      <c r="X81" s="18">
        <f>IF(A81="","",IF(E81="Client introuvable","Code client introuvable",IF(O81&gt;N81,"Encaissement supérieur au total",IF(AND(C81&lt;B81,C81&lt;&gt;""),"Date d’échéance invalide",IF(MAX(W81,-W81)&gt;0.01,"Écart de calcul à vérifier",IF(AND(R81&lt;&gt;"Payé",C81&lt;'Paramètres'!$B$6,C81&lt;&gt;""),"Échéance dépassée","OK"))))))</f>
        <v/>
      </c>
      <c r="Y81" s="16" t="n"/>
    </row>
    <row r="82">
      <c r="A82" s="16" t="n"/>
      <c r="B82" s="17" t="n"/>
      <c r="C82" s="17" t="n"/>
      <c r="D82" s="16" t="n"/>
      <c r="E82" s="18">
        <f>IF(D82="","",IFERROR(VLOOKUP(D82,'Clients'!$A$4:$J$103,2,FALSE),"Client introuvable"))</f>
        <v/>
      </c>
      <c r="F82" s="16" t="n"/>
      <c r="G82" s="16" t="n"/>
      <c r="H82" s="16" t="n"/>
      <c r="I82" s="19" t="n"/>
      <c r="J82" s="20">
        <f>IF(H82="","",IFERROR(VLOOKUP(H82,'Paramètres'!$A$12:$D$14,3,FALSE),0))</f>
        <v/>
      </c>
      <c r="K82" s="21">
        <f>IF(I82="","",ROUND(I82*J82,2))</f>
        <v/>
      </c>
      <c r="L82" s="20">
        <f>IF(H82="","",IFERROR(VLOOKUP(H82,'Paramètres'!$A$12:$D$14,4,FALSE),0))</f>
        <v/>
      </c>
      <c r="M82" s="21">
        <f>IF(I82="","",ROUND(I82*L82,2))</f>
        <v/>
      </c>
      <c r="N82" s="21">
        <f>IF(I82="","",ROUND(I82+K82+M82,2))</f>
        <v/>
      </c>
      <c r="O82" s="19" t="n"/>
      <c r="P82" s="17" t="n"/>
      <c r="Q82" s="16" t="n"/>
      <c r="R82" s="18">
        <f>IF(A82="","",IF(O82&lt;=0,"Non payé",IF(O82&lt;N82,"Partiellement payé",IF(O82&gt;N82,"À vérifier","Payé"))))</f>
        <v/>
      </c>
      <c r="S82" s="21">
        <f>IF(A82="","",ROUND(N82-O82,2))</f>
        <v/>
      </c>
      <c r="T82" s="21">
        <f>IF(A82="","",IFERROR(MIN(I82,ROUND(O82/N82*I82,2)),0))</f>
        <v/>
      </c>
      <c r="U82" s="21">
        <f>IF(A82="","",IFERROR(ROUND(O82/N82*K82,2),0))</f>
        <v/>
      </c>
      <c r="V82" s="21">
        <f>IF(A82="","",IFERROR(ROUND(O82/N82*M82,2),0))</f>
        <v/>
      </c>
      <c r="W82" s="21">
        <f>IF(A82="","",ROUND(N82-(I82+K82+M82),2))</f>
        <v/>
      </c>
      <c r="X82" s="18">
        <f>IF(A82="","",IF(E82="Client introuvable","Code client introuvable",IF(O82&gt;N82,"Encaissement supérieur au total",IF(AND(C82&lt;B82,C82&lt;&gt;""),"Date d’échéance invalide",IF(MAX(W82,-W82)&gt;0.01,"Écart de calcul à vérifier",IF(AND(R82&lt;&gt;"Payé",C82&lt;'Paramètres'!$B$6,C82&lt;&gt;""),"Échéance dépassée","OK"))))))</f>
        <v/>
      </c>
      <c r="Y82" s="16" t="n"/>
    </row>
    <row r="83">
      <c r="A83" s="16" t="n"/>
      <c r="B83" s="17" t="n"/>
      <c r="C83" s="17" t="n"/>
      <c r="D83" s="16" t="n"/>
      <c r="E83" s="18">
        <f>IF(D83="","",IFERROR(VLOOKUP(D83,'Clients'!$A$4:$J$103,2,FALSE),"Client introuvable"))</f>
        <v/>
      </c>
      <c r="F83" s="16" t="n"/>
      <c r="G83" s="16" t="n"/>
      <c r="H83" s="16" t="n"/>
      <c r="I83" s="19" t="n"/>
      <c r="J83" s="20">
        <f>IF(H83="","",IFERROR(VLOOKUP(H83,'Paramètres'!$A$12:$D$14,3,FALSE),0))</f>
        <v/>
      </c>
      <c r="K83" s="21">
        <f>IF(I83="","",ROUND(I83*J83,2))</f>
        <v/>
      </c>
      <c r="L83" s="20">
        <f>IF(H83="","",IFERROR(VLOOKUP(H83,'Paramètres'!$A$12:$D$14,4,FALSE),0))</f>
        <v/>
      </c>
      <c r="M83" s="21">
        <f>IF(I83="","",ROUND(I83*L83,2))</f>
        <v/>
      </c>
      <c r="N83" s="21">
        <f>IF(I83="","",ROUND(I83+K83+M83,2))</f>
        <v/>
      </c>
      <c r="O83" s="19" t="n"/>
      <c r="P83" s="17" t="n"/>
      <c r="Q83" s="16" t="n"/>
      <c r="R83" s="18">
        <f>IF(A83="","",IF(O83&lt;=0,"Non payé",IF(O83&lt;N83,"Partiellement payé",IF(O83&gt;N83,"À vérifier","Payé"))))</f>
        <v/>
      </c>
      <c r="S83" s="21">
        <f>IF(A83="","",ROUND(N83-O83,2))</f>
        <v/>
      </c>
      <c r="T83" s="21">
        <f>IF(A83="","",IFERROR(MIN(I83,ROUND(O83/N83*I83,2)),0))</f>
        <v/>
      </c>
      <c r="U83" s="21">
        <f>IF(A83="","",IFERROR(ROUND(O83/N83*K83,2),0))</f>
        <v/>
      </c>
      <c r="V83" s="21">
        <f>IF(A83="","",IFERROR(ROUND(O83/N83*M83,2),0))</f>
        <v/>
      </c>
      <c r="W83" s="21">
        <f>IF(A83="","",ROUND(N83-(I83+K83+M83),2))</f>
        <v/>
      </c>
      <c r="X83" s="18">
        <f>IF(A83="","",IF(E83="Client introuvable","Code client introuvable",IF(O83&gt;N83,"Encaissement supérieur au total",IF(AND(C83&lt;B83,C83&lt;&gt;""),"Date d’échéance invalide",IF(MAX(W83,-W83)&gt;0.01,"Écart de calcul à vérifier",IF(AND(R83&lt;&gt;"Payé",C83&lt;'Paramètres'!$B$6,C83&lt;&gt;""),"Échéance dépassée","OK"))))))</f>
        <v/>
      </c>
      <c r="Y83" s="16" t="n"/>
    </row>
    <row r="84">
      <c r="A84" s="16" t="n"/>
      <c r="B84" s="17" t="n"/>
      <c r="C84" s="17" t="n"/>
      <c r="D84" s="16" t="n"/>
      <c r="E84" s="18">
        <f>IF(D84="","",IFERROR(VLOOKUP(D84,'Clients'!$A$4:$J$103,2,FALSE),"Client introuvable"))</f>
        <v/>
      </c>
      <c r="F84" s="16" t="n"/>
      <c r="G84" s="16" t="n"/>
      <c r="H84" s="16" t="n"/>
      <c r="I84" s="19" t="n"/>
      <c r="J84" s="20">
        <f>IF(H84="","",IFERROR(VLOOKUP(H84,'Paramètres'!$A$12:$D$14,3,FALSE),0))</f>
        <v/>
      </c>
      <c r="K84" s="21">
        <f>IF(I84="","",ROUND(I84*J84,2))</f>
        <v/>
      </c>
      <c r="L84" s="20">
        <f>IF(H84="","",IFERROR(VLOOKUP(H84,'Paramètres'!$A$12:$D$14,4,FALSE),0))</f>
        <v/>
      </c>
      <c r="M84" s="21">
        <f>IF(I84="","",ROUND(I84*L84,2))</f>
        <v/>
      </c>
      <c r="N84" s="21">
        <f>IF(I84="","",ROUND(I84+K84+M84,2))</f>
        <v/>
      </c>
      <c r="O84" s="19" t="n"/>
      <c r="P84" s="17" t="n"/>
      <c r="Q84" s="16" t="n"/>
      <c r="R84" s="18">
        <f>IF(A84="","",IF(O84&lt;=0,"Non payé",IF(O84&lt;N84,"Partiellement payé",IF(O84&gt;N84,"À vérifier","Payé"))))</f>
        <v/>
      </c>
      <c r="S84" s="21">
        <f>IF(A84="","",ROUND(N84-O84,2))</f>
        <v/>
      </c>
      <c r="T84" s="21">
        <f>IF(A84="","",IFERROR(MIN(I84,ROUND(O84/N84*I84,2)),0))</f>
        <v/>
      </c>
      <c r="U84" s="21">
        <f>IF(A84="","",IFERROR(ROUND(O84/N84*K84,2),0))</f>
        <v/>
      </c>
      <c r="V84" s="21">
        <f>IF(A84="","",IFERROR(ROUND(O84/N84*M84,2),0))</f>
        <v/>
      </c>
      <c r="W84" s="21">
        <f>IF(A84="","",ROUND(N84-(I84+K84+M84),2))</f>
        <v/>
      </c>
      <c r="X84" s="18">
        <f>IF(A84="","",IF(E84="Client introuvable","Code client introuvable",IF(O84&gt;N84,"Encaissement supérieur au total",IF(AND(C84&lt;B84,C84&lt;&gt;""),"Date d’échéance invalide",IF(MAX(W84,-W84)&gt;0.01,"Écart de calcul à vérifier",IF(AND(R84&lt;&gt;"Payé",C84&lt;'Paramètres'!$B$6,C84&lt;&gt;""),"Échéance dépassée","OK"))))))</f>
        <v/>
      </c>
      <c r="Y84" s="16" t="n"/>
    </row>
    <row r="85">
      <c r="A85" s="16" t="n"/>
      <c r="B85" s="17" t="n"/>
      <c r="C85" s="17" t="n"/>
      <c r="D85" s="16" t="n"/>
      <c r="E85" s="18">
        <f>IF(D85="","",IFERROR(VLOOKUP(D85,'Clients'!$A$4:$J$103,2,FALSE),"Client introuvable"))</f>
        <v/>
      </c>
      <c r="F85" s="16" t="n"/>
      <c r="G85" s="16" t="n"/>
      <c r="H85" s="16" t="n"/>
      <c r="I85" s="19" t="n"/>
      <c r="J85" s="20">
        <f>IF(H85="","",IFERROR(VLOOKUP(H85,'Paramètres'!$A$12:$D$14,3,FALSE),0))</f>
        <v/>
      </c>
      <c r="K85" s="21">
        <f>IF(I85="","",ROUND(I85*J85,2))</f>
        <v/>
      </c>
      <c r="L85" s="20">
        <f>IF(H85="","",IFERROR(VLOOKUP(H85,'Paramètres'!$A$12:$D$14,4,FALSE),0))</f>
        <v/>
      </c>
      <c r="M85" s="21">
        <f>IF(I85="","",ROUND(I85*L85,2))</f>
        <v/>
      </c>
      <c r="N85" s="21">
        <f>IF(I85="","",ROUND(I85+K85+M85,2))</f>
        <v/>
      </c>
      <c r="O85" s="19" t="n"/>
      <c r="P85" s="17" t="n"/>
      <c r="Q85" s="16" t="n"/>
      <c r="R85" s="18">
        <f>IF(A85="","",IF(O85&lt;=0,"Non payé",IF(O85&lt;N85,"Partiellement payé",IF(O85&gt;N85,"À vérifier","Payé"))))</f>
        <v/>
      </c>
      <c r="S85" s="21">
        <f>IF(A85="","",ROUND(N85-O85,2))</f>
        <v/>
      </c>
      <c r="T85" s="21">
        <f>IF(A85="","",IFERROR(MIN(I85,ROUND(O85/N85*I85,2)),0))</f>
        <v/>
      </c>
      <c r="U85" s="21">
        <f>IF(A85="","",IFERROR(ROUND(O85/N85*K85,2),0))</f>
        <v/>
      </c>
      <c r="V85" s="21">
        <f>IF(A85="","",IFERROR(ROUND(O85/N85*M85,2),0))</f>
        <v/>
      </c>
      <c r="W85" s="21">
        <f>IF(A85="","",ROUND(N85-(I85+K85+M85),2))</f>
        <v/>
      </c>
      <c r="X85" s="18">
        <f>IF(A85="","",IF(E85="Client introuvable","Code client introuvable",IF(O85&gt;N85,"Encaissement supérieur au total",IF(AND(C85&lt;B85,C85&lt;&gt;""),"Date d’échéance invalide",IF(MAX(W85,-W85)&gt;0.01,"Écart de calcul à vérifier",IF(AND(R85&lt;&gt;"Payé",C85&lt;'Paramètres'!$B$6,C85&lt;&gt;""),"Échéance dépassée","OK"))))))</f>
        <v/>
      </c>
      <c r="Y85" s="16" t="n"/>
    </row>
    <row r="86">
      <c r="A86" s="16" t="n"/>
      <c r="B86" s="17" t="n"/>
      <c r="C86" s="17" t="n"/>
      <c r="D86" s="16" t="n"/>
      <c r="E86" s="18">
        <f>IF(D86="","",IFERROR(VLOOKUP(D86,'Clients'!$A$4:$J$103,2,FALSE),"Client introuvable"))</f>
        <v/>
      </c>
      <c r="F86" s="16" t="n"/>
      <c r="G86" s="16" t="n"/>
      <c r="H86" s="16" t="n"/>
      <c r="I86" s="19" t="n"/>
      <c r="J86" s="20">
        <f>IF(H86="","",IFERROR(VLOOKUP(H86,'Paramètres'!$A$12:$D$14,3,FALSE),0))</f>
        <v/>
      </c>
      <c r="K86" s="21">
        <f>IF(I86="","",ROUND(I86*J86,2))</f>
        <v/>
      </c>
      <c r="L86" s="20">
        <f>IF(H86="","",IFERROR(VLOOKUP(H86,'Paramètres'!$A$12:$D$14,4,FALSE),0))</f>
        <v/>
      </c>
      <c r="M86" s="21">
        <f>IF(I86="","",ROUND(I86*L86,2))</f>
        <v/>
      </c>
      <c r="N86" s="21">
        <f>IF(I86="","",ROUND(I86+K86+M86,2))</f>
        <v/>
      </c>
      <c r="O86" s="19" t="n"/>
      <c r="P86" s="17" t="n"/>
      <c r="Q86" s="16" t="n"/>
      <c r="R86" s="18">
        <f>IF(A86="","",IF(O86&lt;=0,"Non payé",IF(O86&lt;N86,"Partiellement payé",IF(O86&gt;N86,"À vérifier","Payé"))))</f>
        <v/>
      </c>
      <c r="S86" s="21">
        <f>IF(A86="","",ROUND(N86-O86,2))</f>
        <v/>
      </c>
      <c r="T86" s="21">
        <f>IF(A86="","",IFERROR(MIN(I86,ROUND(O86/N86*I86,2)),0))</f>
        <v/>
      </c>
      <c r="U86" s="21">
        <f>IF(A86="","",IFERROR(ROUND(O86/N86*K86,2),0))</f>
        <v/>
      </c>
      <c r="V86" s="21">
        <f>IF(A86="","",IFERROR(ROUND(O86/N86*M86,2),0))</f>
        <v/>
      </c>
      <c r="W86" s="21">
        <f>IF(A86="","",ROUND(N86-(I86+K86+M86),2))</f>
        <v/>
      </c>
      <c r="X86" s="18">
        <f>IF(A86="","",IF(E86="Client introuvable","Code client introuvable",IF(O86&gt;N86,"Encaissement supérieur au total",IF(AND(C86&lt;B86,C86&lt;&gt;""),"Date d’échéance invalide",IF(MAX(W86,-W86)&gt;0.01,"Écart de calcul à vérifier",IF(AND(R86&lt;&gt;"Payé",C86&lt;'Paramètres'!$B$6,C86&lt;&gt;""),"Échéance dépassée","OK"))))))</f>
        <v/>
      </c>
      <c r="Y86" s="16" t="n"/>
    </row>
    <row r="87">
      <c r="A87" s="16" t="n"/>
      <c r="B87" s="17" t="n"/>
      <c r="C87" s="17" t="n"/>
      <c r="D87" s="16" t="n"/>
      <c r="E87" s="18">
        <f>IF(D87="","",IFERROR(VLOOKUP(D87,'Clients'!$A$4:$J$103,2,FALSE),"Client introuvable"))</f>
        <v/>
      </c>
      <c r="F87" s="16" t="n"/>
      <c r="G87" s="16" t="n"/>
      <c r="H87" s="16" t="n"/>
      <c r="I87" s="19" t="n"/>
      <c r="J87" s="20">
        <f>IF(H87="","",IFERROR(VLOOKUP(H87,'Paramètres'!$A$12:$D$14,3,FALSE),0))</f>
        <v/>
      </c>
      <c r="K87" s="21">
        <f>IF(I87="","",ROUND(I87*J87,2))</f>
        <v/>
      </c>
      <c r="L87" s="20">
        <f>IF(H87="","",IFERROR(VLOOKUP(H87,'Paramètres'!$A$12:$D$14,4,FALSE),0))</f>
        <v/>
      </c>
      <c r="M87" s="21">
        <f>IF(I87="","",ROUND(I87*L87,2))</f>
        <v/>
      </c>
      <c r="N87" s="21">
        <f>IF(I87="","",ROUND(I87+K87+M87,2))</f>
        <v/>
      </c>
      <c r="O87" s="19" t="n"/>
      <c r="P87" s="17" t="n"/>
      <c r="Q87" s="16" t="n"/>
      <c r="R87" s="18">
        <f>IF(A87="","",IF(O87&lt;=0,"Non payé",IF(O87&lt;N87,"Partiellement payé",IF(O87&gt;N87,"À vérifier","Payé"))))</f>
        <v/>
      </c>
      <c r="S87" s="21">
        <f>IF(A87="","",ROUND(N87-O87,2))</f>
        <v/>
      </c>
      <c r="T87" s="21">
        <f>IF(A87="","",IFERROR(MIN(I87,ROUND(O87/N87*I87,2)),0))</f>
        <v/>
      </c>
      <c r="U87" s="21">
        <f>IF(A87="","",IFERROR(ROUND(O87/N87*K87,2),0))</f>
        <v/>
      </c>
      <c r="V87" s="21">
        <f>IF(A87="","",IFERROR(ROUND(O87/N87*M87,2),0))</f>
        <v/>
      </c>
      <c r="W87" s="21">
        <f>IF(A87="","",ROUND(N87-(I87+K87+M87),2))</f>
        <v/>
      </c>
      <c r="X87" s="18">
        <f>IF(A87="","",IF(E87="Client introuvable","Code client introuvable",IF(O87&gt;N87,"Encaissement supérieur au total",IF(AND(C87&lt;B87,C87&lt;&gt;""),"Date d’échéance invalide",IF(MAX(W87,-W87)&gt;0.01,"Écart de calcul à vérifier",IF(AND(R87&lt;&gt;"Payé",C87&lt;'Paramètres'!$B$6,C87&lt;&gt;""),"Échéance dépassée","OK"))))))</f>
        <v/>
      </c>
      <c r="Y87" s="16" t="n"/>
    </row>
    <row r="88">
      <c r="A88" s="16" t="n"/>
      <c r="B88" s="17" t="n"/>
      <c r="C88" s="17" t="n"/>
      <c r="D88" s="16" t="n"/>
      <c r="E88" s="18">
        <f>IF(D88="","",IFERROR(VLOOKUP(D88,'Clients'!$A$4:$J$103,2,FALSE),"Client introuvable"))</f>
        <v/>
      </c>
      <c r="F88" s="16" t="n"/>
      <c r="G88" s="16" t="n"/>
      <c r="H88" s="16" t="n"/>
      <c r="I88" s="19" t="n"/>
      <c r="J88" s="20">
        <f>IF(H88="","",IFERROR(VLOOKUP(H88,'Paramètres'!$A$12:$D$14,3,FALSE),0))</f>
        <v/>
      </c>
      <c r="K88" s="21">
        <f>IF(I88="","",ROUND(I88*J88,2))</f>
        <v/>
      </c>
      <c r="L88" s="20">
        <f>IF(H88="","",IFERROR(VLOOKUP(H88,'Paramètres'!$A$12:$D$14,4,FALSE),0))</f>
        <v/>
      </c>
      <c r="M88" s="21">
        <f>IF(I88="","",ROUND(I88*L88,2))</f>
        <v/>
      </c>
      <c r="N88" s="21">
        <f>IF(I88="","",ROUND(I88+K88+M88,2))</f>
        <v/>
      </c>
      <c r="O88" s="19" t="n"/>
      <c r="P88" s="17" t="n"/>
      <c r="Q88" s="16" t="n"/>
      <c r="R88" s="18">
        <f>IF(A88="","",IF(O88&lt;=0,"Non payé",IF(O88&lt;N88,"Partiellement payé",IF(O88&gt;N88,"À vérifier","Payé"))))</f>
        <v/>
      </c>
      <c r="S88" s="21">
        <f>IF(A88="","",ROUND(N88-O88,2))</f>
        <v/>
      </c>
      <c r="T88" s="21">
        <f>IF(A88="","",IFERROR(MIN(I88,ROUND(O88/N88*I88,2)),0))</f>
        <v/>
      </c>
      <c r="U88" s="21">
        <f>IF(A88="","",IFERROR(ROUND(O88/N88*K88,2),0))</f>
        <v/>
      </c>
      <c r="V88" s="21">
        <f>IF(A88="","",IFERROR(ROUND(O88/N88*M88,2),0))</f>
        <v/>
      </c>
      <c r="W88" s="21">
        <f>IF(A88="","",ROUND(N88-(I88+K88+M88),2))</f>
        <v/>
      </c>
      <c r="X88" s="18">
        <f>IF(A88="","",IF(E88="Client introuvable","Code client introuvable",IF(O88&gt;N88,"Encaissement supérieur au total",IF(AND(C88&lt;B88,C88&lt;&gt;""),"Date d’échéance invalide",IF(MAX(W88,-W88)&gt;0.01,"Écart de calcul à vérifier",IF(AND(R88&lt;&gt;"Payé",C88&lt;'Paramètres'!$B$6,C88&lt;&gt;""),"Échéance dépassée","OK"))))))</f>
        <v/>
      </c>
      <c r="Y88" s="16" t="n"/>
    </row>
    <row r="89">
      <c r="A89" s="16" t="n"/>
      <c r="B89" s="17" t="n"/>
      <c r="C89" s="17" t="n"/>
      <c r="D89" s="16" t="n"/>
      <c r="E89" s="18">
        <f>IF(D89="","",IFERROR(VLOOKUP(D89,'Clients'!$A$4:$J$103,2,FALSE),"Client introuvable"))</f>
        <v/>
      </c>
      <c r="F89" s="16" t="n"/>
      <c r="G89" s="16" t="n"/>
      <c r="H89" s="16" t="n"/>
      <c r="I89" s="19" t="n"/>
      <c r="J89" s="20">
        <f>IF(H89="","",IFERROR(VLOOKUP(H89,'Paramètres'!$A$12:$D$14,3,FALSE),0))</f>
        <v/>
      </c>
      <c r="K89" s="21">
        <f>IF(I89="","",ROUND(I89*J89,2))</f>
        <v/>
      </c>
      <c r="L89" s="20">
        <f>IF(H89="","",IFERROR(VLOOKUP(H89,'Paramètres'!$A$12:$D$14,4,FALSE),0))</f>
        <v/>
      </c>
      <c r="M89" s="21">
        <f>IF(I89="","",ROUND(I89*L89,2))</f>
        <v/>
      </c>
      <c r="N89" s="21">
        <f>IF(I89="","",ROUND(I89+K89+M89,2))</f>
        <v/>
      </c>
      <c r="O89" s="19" t="n"/>
      <c r="P89" s="17" t="n"/>
      <c r="Q89" s="16" t="n"/>
      <c r="R89" s="18">
        <f>IF(A89="","",IF(O89&lt;=0,"Non payé",IF(O89&lt;N89,"Partiellement payé",IF(O89&gt;N89,"À vérifier","Payé"))))</f>
        <v/>
      </c>
      <c r="S89" s="21">
        <f>IF(A89="","",ROUND(N89-O89,2))</f>
        <v/>
      </c>
      <c r="T89" s="21">
        <f>IF(A89="","",IFERROR(MIN(I89,ROUND(O89/N89*I89,2)),0))</f>
        <v/>
      </c>
      <c r="U89" s="21">
        <f>IF(A89="","",IFERROR(ROUND(O89/N89*K89,2),0))</f>
        <v/>
      </c>
      <c r="V89" s="21">
        <f>IF(A89="","",IFERROR(ROUND(O89/N89*M89,2),0))</f>
        <v/>
      </c>
      <c r="W89" s="21">
        <f>IF(A89="","",ROUND(N89-(I89+K89+M89),2))</f>
        <v/>
      </c>
      <c r="X89" s="18">
        <f>IF(A89="","",IF(E89="Client introuvable","Code client introuvable",IF(O89&gt;N89,"Encaissement supérieur au total",IF(AND(C89&lt;B89,C89&lt;&gt;""),"Date d’échéance invalide",IF(MAX(W89,-W89)&gt;0.01,"Écart de calcul à vérifier",IF(AND(R89&lt;&gt;"Payé",C89&lt;'Paramètres'!$B$6,C89&lt;&gt;""),"Échéance dépassée","OK"))))))</f>
        <v/>
      </c>
      <c r="Y89" s="16" t="n"/>
    </row>
    <row r="90">
      <c r="A90" s="16" t="n"/>
      <c r="B90" s="17" t="n"/>
      <c r="C90" s="17" t="n"/>
      <c r="D90" s="16" t="n"/>
      <c r="E90" s="18">
        <f>IF(D90="","",IFERROR(VLOOKUP(D90,'Clients'!$A$4:$J$103,2,FALSE),"Client introuvable"))</f>
        <v/>
      </c>
      <c r="F90" s="16" t="n"/>
      <c r="G90" s="16" t="n"/>
      <c r="H90" s="16" t="n"/>
      <c r="I90" s="19" t="n"/>
      <c r="J90" s="20">
        <f>IF(H90="","",IFERROR(VLOOKUP(H90,'Paramètres'!$A$12:$D$14,3,FALSE),0))</f>
        <v/>
      </c>
      <c r="K90" s="21">
        <f>IF(I90="","",ROUND(I90*J90,2))</f>
        <v/>
      </c>
      <c r="L90" s="20">
        <f>IF(H90="","",IFERROR(VLOOKUP(H90,'Paramètres'!$A$12:$D$14,4,FALSE),0))</f>
        <v/>
      </c>
      <c r="M90" s="21">
        <f>IF(I90="","",ROUND(I90*L90,2))</f>
        <v/>
      </c>
      <c r="N90" s="21">
        <f>IF(I90="","",ROUND(I90+K90+M90,2))</f>
        <v/>
      </c>
      <c r="O90" s="19" t="n"/>
      <c r="P90" s="17" t="n"/>
      <c r="Q90" s="16" t="n"/>
      <c r="R90" s="18">
        <f>IF(A90="","",IF(O90&lt;=0,"Non payé",IF(O90&lt;N90,"Partiellement payé",IF(O90&gt;N90,"À vérifier","Payé"))))</f>
        <v/>
      </c>
      <c r="S90" s="21">
        <f>IF(A90="","",ROUND(N90-O90,2))</f>
        <v/>
      </c>
      <c r="T90" s="21">
        <f>IF(A90="","",IFERROR(MIN(I90,ROUND(O90/N90*I90,2)),0))</f>
        <v/>
      </c>
      <c r="U90" s="21">
        <f>IF(A90="","",IFERROR(ROUND(O90/N90*K90,2),0))</f>
        <v/>
      </c>
      <c r="V90" s="21">
        <f>IF(A90="","",IFERROR(ROUND(O90/N90*M90,2),0))</f>
        <v/>
      </c>
      <c r="W90" s="21">
        <f>IF(A90="","",ROUND(N90-(I90+K90+M90),2))</f>
        <v/>
      </c>
      <c r="X90" s="18">
        <f>IF(A90="","",IF(E90="Client introuvable","Code client introuvable",IF(O90&gt;N90,"Encaissement supérieur au total",IF(AND(C90&lt;B90,C90&lt;&gt;""),"Date d’échéance invalide",IF(MAX(W90,-W90)&gt;0.01,"Écart de calcul à vérifier",IF(AND(R90&lt;&gt;"Payé",C90&lt;'Paramètres'!$B$6,C90&lt;&gt;""),"Échéance dépassée","OK"))))))</f>
        <v/>
      </c>
      <c r="Y90" s="16" t="n"/>
    </row>
    <row r="91">
      <c r="A91" s="16" t="n"/>
      <c r="B91" s="17" t="n"/>
      <c r="C91" s="17" t="n"/>
      <c r="D91" s="16" t="n"/>
      <c r="E91" s="18">
        <f>IF(D91="","",IFERROR(VLOOKUP(D91,'Clients'!$A$4:$J$103,2,FALSE),"Client introuvable"))</f>
        <v/>
      </c>
      <c r="F91" s="16" t="n"/>
      <c r="G91" s="16" t="n"/>
      <c r="H91" s="16" t="n"/>
      <c r="I91" s="19" t="n"/>
      <c r="J91" s="20">
        <f>IF(H91="","",IFERROR(VLOOKUP(H91,'Paramètres'!$A$12:$D$14,3,FALSE),0))</f>
        <v/>
      </c>
      <c r="K91" s="21">
        <f>IF(I91="","",ROUND(I91*J91,2))</f>
        <v/>
      </c>
      <c r="L91" s="20">
        <f>IF(H91="","",IFERROR(VLOOKUP(H91,'Paramètres'!$A$12:$D$14,4,FALSE),0))</f>
        <v/>
      </c>
      <c r="M91" s="21">
        <f>IF(I91="","",ROUND(I91*L91,2))</f>
        <v/>
      </c>
      <c r="N91" s="21">
        <f>IF(I91="","",ROUND(I91+K91+M91,2))</f>
        <v/>
      </c>
      <c r="O91" s="19" t="n"/>
      <c r="P91" s="17" t="n"/>
      <c r="Q91" s="16" t="n"/>
      <c r="R91" s="18">
        <f>IF(A91="","",IF(O91&lt;=0,"Non payé",IF(O91&lt;N91,"Partiellement payé",IF(O91&gt;N91,"À vérifier","Payé"))))</f>
        <v/>
      </c>
      <c r="S91" s="21">
        <f>IF(A91="","",ROUND(N91-O91,2))</f>
        <v/>
      </c>
      <c r="T91" s="21">
        <f>IF(A91="","",IFERROR(MIN(I91,ROUND(O91/N91*I91,2)),0))</f>
        <v/>
      </c>
      <c r="U91" s="21">
        <f>IF(A91="","",IFERROR(ROUND(O91/N91*K91,2),0))</f>
        <v/>
      </c>
      <c r="V91" s="21">
        <f>IF(A91="","",IFERROR(ROUND(O91/N91*M91,2),0))</f>
        <v/>
      </c>
      <c r="W91" s="21">
        <f>IF(A91="","",ROUND(N91-(I91+K91+M91),2))</f>
        <v/>
      </c>
      <c r="X91" s="18">
        <f>IF(A91="","",IF(E91="Client introuvable","Code client introuvable",IF(O91&gt;N91,"Encaissement supérieur au total",IF(AND(C91&lt;B91,C91&lt;&gt;""),"Date d’échéance invalide",IF(MAX(W91,-W91)&gt;0.01,"Écart de calcul à vérifier",IF(AND(R91&lt;&gt;"Payé",C91&lt;'Paramètres'!$B$6,C91&lt;&gt;""),"Échéance dépassée","OK"))))))</f>
        <v/>
      </c>
      <c r="Y91" s="16" t="n"/>
    </row>
    <row r="92">
      <c r="A92" s="16" t="n"/>
      <c r="B92" s="17" t="n"/>
      <c r="C92" s="17" t="n"/>
      <c r="D92" s="16" t="n"/>
      <c r="E92" s="18">
        <f>IF(D92="","",IFERROR(VLOOKUP(D92,'Clients'!$A$4:$J$103,2,FALSE),"Client introuvable"))</f>
        <v/>
      </c>
      <c r="F92" s="16" t="n"/>
      <c r="G92" s="16" t="n"/>
      <c r="H92" s="16" t="n"/>
      <c r="I92" s="19" t="n"/>
      <c r="J92" s="20">
        <f>IF(H92="","",IFERROR(VLOOKUP(H92,'Paramètres'!$A$12:$D$14,3,FALSE),0))</f>
        <v/>
      </c>
      <c r="K92" s="21">
        <f>IF(I92="","",ROUND(I92*J92,2))</f>
        <v/>
      </c>
      <c r="L92" s="20">
        <f>IF(H92="","",IFERROR(VLOOKUP(H92,'Paramètres'!$A$12:$D$14,4,FALSE),0))</f>
        <v/>
      </c>
      <c r="M92" s="21">
        <f>IF(I92="","",ROUND(I92*L92,2))</f>
        <v/>
      </c>
      <c r="N92" s="21">
        <f>IF(I92="","",ROUND(I92+K92+M92,2))</f>
        <v/>
      </c>
      <c r="O92" s="19" t="n"/>
      <c r="P92" s="17" t="n"/>
      <c r="Q92" s="16" t="n"/>
      <c r="R92" s="18">
        <f>IF(A92="","",IF(O92&lt;=0,"Non payé",IF(O92&lt;N92,"Partiellement payé",IF(O92&gt;N92,"À vérifier","Payé"))))</f>
        <v/>
      </c>
      <c r="S92" s="21">
        <f>IF(A92="","",ROUND(N92-O92,2))</f>
        <v/>
      </c>
      <c r="T92" s="21">
        <f>IF(A92="","",IFERROR(MIN(I92,ROUND(O92/N92*I92,2)),0))</f>
        <v/>
      </c>
      <c r="U92" s="21">
        <f>IF(A92="","",IFERROR(ROUND(O92/N92*K92,2),0))</f>
        <v/>
      </c>
      <c r="V92" s="21">
        <f>IF(A92="","",IFERROR(ROUND(O92/N92*M92,2),0))</f>
        <v/>
      </c>
      <c r="W92" s="21">
        <f>IF(A92="","",ROUND(N92-(I92+K92+M92),2))</f>
        <v/>
      </c>
      <c r="X92" s="18">
        <f>IF(A92="","",IF(E92="Client introuvable","Code client introuvable",IF(O92&gt;N92,"Encaissement supérieur au total",IF(AND(C92&lt;B92,C92&lt;&gt;""),"Date d’échéance invalide",IF(MAX(W92,-W92)&gt;0.01,"Écart de calcul à vérifier",IF(AND(R92&lt;&gt;"Payé",C92&lt;'Paramètres'!$B$6,C92&lt;&gt;""),"Échéance dépassée","OK"))))))</f>
        <v/>
      </c>
      <c r="Y92" s="16" t="n"/>
    </row>
    <row r="93">
      <c r="A93" s="16" t="n"/>
      <c r="B93" s="17" t="n"/>
      <c r="C93" s="17" t="n"/>
      <c r="D93" s="16" t="n"/>
      <c r="E93" s="18">
        <f>IF(D93="","",IFERROR(VLOOKUP(D93,'Clients'!$A$4:$J$103,2,FALSE),"Client introuvable"))</f>
        <v/>
      </c>
      <c r="F93" s="16" t="n"/>
      <c r="G93" s="16" t="n"/>
      <c r="H93" s="16" t="n"/>
      <c r="I93" s="19" t="n"/>
      <c r="J93" s="20">
        <f>IF(H93="","",IFERROR(VLOOKUP(H93,'Paramètres'!$A$12:$D$14,3,FALSE),0))</f>
        <v/>
      </c>
      <c r="K93" s="21">
        <f>IF(I93="","",ROUND(I93*J93,2))</f>
        <v/>
      </c>
      <c r="L93" s="20">
        <f>IF(H93="","",IFERROR(VLOOKUP(H93,'Paramètres'!$A$12:$D$14,4,FALSE),0))</f>
        <v/>
      </c>
      <c r="M93" s="21">
        <f>IF(I93="","",ROUND(I93*L93,2))</f>
        <v/>
      </c>
      <c r="N93" s="21">
        <f>IF(I93="","",ROUND(I93+K93+M93,2))</f>
        <v/>
      </c>
      <c r="O93" s="19" t="n"/>
      <c r="P93" s="17" t="n"/>
      <c r="Q93" s="16" t="n"/>
      <c r="R93" s="18">
        <f>IF(A93="","",IF(O93&lt;=0,"Non payé",IF(O93&lt;N93,"Partiellement payé",IF(O93&gt;N93,"À vérifier","Payé"))))</f>
        <v/>
      </c>
      <c r="S93" s="21">
        <f>IF(A93="","",ROUND(N93-O93,2))</f>
        <v/>
      </c>
      <c r="T93" s="21">
        <f>IF(A93="","",IFERROR(MIN(I93,ROUND(O93/N93*I93,2)),0))</f>
        <v/>
      </c>
      <c r="U93" s="21">
        <f>IF(A93="","",IFERROR(ROUND(O93/N93*K93,2),0))</f>
        <v/>
      </c>
      <c r="V93" s="21">
        <f>IF(A93="","",IFERROR(ROUND(O93/N93*M93,2),0))</f>
        <v/>
      </c>
      <c r="W93" s="21">
        <f>IF(A93="","",ROUND(N93-(I93+K93+M93),2))</f>
        <v/>
      </c>
      <c r="X93" s="18">
        <f>IF(A93="","",IF(E93="Client introuvable","Code client introuvable",IF(O93&gt;N93,"Encaissement supérieur au total",IF(AND(C93&lt;B93,C93&lt;&gt;""),"Date d’échéance invalide",IF(MAX(W93,-W93)&gt;0.01,"Écart de calcul à vérifier",IF(AND(R93&lt;&gt;"Payé",C93&lt;'Paramètres'!$B$6,C93&lt;&gt;""),"Échéance dépassée","OK"))))))</f>
        <v/>
      </c>
      <c r="Y93" s="16" t="n"/>
    </row>
    <row r="94">
      <c r="A94" s="16" t="n"/>
      <c r="B94" s="17" t="n"/>
      <c r="C94" s="17" t="n"/>
      <c r="D94" s="16" t="n"/>
      <c r="E94" s="18">
        <f>IF(D94="","",IFERROR(VLOOKUP(D94,'Clients'!$A$4:$J$103,2,FALSE),"Client introuvable"))</f>
        <v/>
      </c>
      <c r="F94" s="16" t="n"/>
      <c r="G94" s="16" t="n"/>
      <c r="H94" s="16" t="n"/>
      <c r="I94" s="19" t="n"/>
      <c r="J94" s="20">
        <f>IF(H94="","",IFERROR(VLOOKUP(H94,'Paramètres'!$A$12:$D$14,3,FALSE),0))</f>
        <v/>
      </c>
      <c r="K94" s="21">
        <f>IF(I94="","",ROUND(I94*J94,2))</f>
        <v/>
      </c>
      <c r="L94" s="20">
        <f>IF(H94="","",IFERROR(VLOOKUP(H94,'Paramètres'!$A$12:$D$14,4,FALSE),0))</f>
        <v/>
      </c>
      <c r="M94" s="21">
        <f>IF(I94="","",ROUND(I94*L94,2))</f>
        <v/>
      </c>
      <c r="N94" s="21">
        <f>IF(I94="","",ROUND(I94+K94+M94,2))</f>
        <v/>
      </c>
      <c r="O94" s="19" t="n"/>
      <c r="P94" s="17" t="n"/>
      <c r="Q94" s="16" t="n"/>
      <c r="R94" s="18">
        <f>IF(A94="","",IF(O94&lt;=0,"Non payé",IF(O94&lt;N94,"Partiellement payé",IF(O94&gt;N94,"À vérifier","Payé"))))</f>
        <v/>
      </c>
      <c r="S94" s="21">
        <f>IF(A94="","",ROUND(N94-O94,2))</f>
        <v/>
      </c>
      <c r="T94" s="21">
        <f>IF(A94="","",IFERROR(MIN(I94,ROUND(O94/N94*I94,2)),0))</f>
        <v/>
      </c>
      <c r="U94" s="21">
        <f>IF(A94="","",IFERROR(ROUND(O94/N94*K94,2),0))</f>
        <v/>
      </c>
      <c r="V94" s="21">
        <f>IF(A94="","",IFERROR(ROUND(O94/N94*M94,2),0))</f>
        <v/>
      </c>
      <c r="W94" s="21">
        <f>IF(A94="","",ROUND(N94-(I94+K94+M94),2))</f>
        <v/>
      </c>
      <c r="X94" s="18">
        <f>IF(A94="","",IF(E94="Client introuvable","Code client introuvable",IF(O94&gt;N94,"Encaissement supérieur au total",IF(AND(C94&lt;B94,C94&lt;&gt;""),"Date d’échéance invalide",IF(MAX(W94,-W94)&gt;0.01,"Écart de calcul à vérifier",IF(AND(R94&lt;&gt;"Payé",C94&lt;'Paramètres'!$B$6,C94&lt;&gt;""),"Échéance dépassée","OK"))))))</f>
        <v/>
      </c>
      <c r="Y94" s="16" t="n"/>
    </row>
    <row r="95">
      <c r="A95" s="16" t="n"/>
      <c r="B95" s="17" t="n"/>
      <c r="C95" s="17" t="n"/>
      <c r="D95" s="16" t="n"/>
      <c r="E95" s="18">
        <f>IF(D95="","",IFERROR(VLOOKUP(D95,'Clients'!$A$4:$J$103,2,FALSE),"Client introuvable"))</f>
        <v/>
      </c>
      <c r="F95" s="16" t="n"/>
      <c r="G95" s="16" t="n"/>
      <c r="H95" s="16" t="n"/>
      <c r="I95" s="19" t="n"/>
      <c r="J95" s="20">
        <f>IF(H95="","",IFERROR(VLOOKUP(H95,'Paramètres'!$A$12:$D$14,3,FALSE),0))</f>
        <v/>
      </c>
      <c r="K95" s="21">
        <f>IF(I95="","",ROUND(I95*J95,2))</f>
        <v/>
      </c>
      <c r="L95" s="20">
        <f>IF(H95="","",IFERROR(VLOOKUP(H95,'Paramètres'!$A$12:$D$14,4,FALSE),0))</f>
        <v/>
      </c>
      <c r="M95" s="21">
        <f>IF(I95="","",ROUND(I95*L95,2))</f>
        <v/>
      </c>
      <c r="N95" s="21">
        <f>IF(I95="","",ROUND(I95+K95+M95,2))</f>
        <v/>
      </c>
      <c r="O95" s="19" t="n"/>
      <c r="P95" s="17" t="n"/>
      <c r="Q95" s="16" t="n"/>
      <c r="R95" s="18">
        <f>IF(A95="","",IF(O95&lt;=0,"Non payé",IF(O95&lt;N95,"Partiellement payé",IF(O95&gt;N95,"À vérifier","Payé"))))</f>
        <v/>
      </c>
      <c r="S95" s="21">
        <f>IF(A95="","",ROUND(N95-O95,2))</f>
        <v/>
      </c>
      <c r="T95" s="21">
        <f>IF(A95="","",IFERROR(MIN(I95,ROUND(O95/N95*I95,2)),0))</f>
        <v/>
      </c>
      <c r="U95" s="21">
        <f>IF(A95="","",IFERROR(ROUND(O95/N95*K95,2),0))</f>
        <v/>
      </c>
      <c r="V95" s="21">
        <f>IF(A95="","",IFERROR(ROUND(O95/N95*M95,2),0))</f>
        <v/>
      </c>
      <c r="W95" s="21">
        <f>IF(A95="","",ROUND(N95-(I95+K95+M95),2))</f>
        <v/>
      </c>
      <c r="X95" s="18">
        <f>IF(A95="","",IF(E95="Client introuvable","Code client introuvable",IF(O95&gt;N95,"Encaissement supérieur au total",IF(AND(C95&lt;B95,C95&lt;&gt;""),"Date d’échéance invalide",IF(MAX(W95,-W95)&gt;0.01,"Écart de calcul à vérifier",IF(AND(R95&lt;&gt;"Payé",C95&lt;'Paramètres'!$B$6,C95&lt;&gt;""),"Échéance dépassée","OK"))))))</f>
        <v/>
      </c>
      <c r="Y95" s="16" t="n"/>
    </row>
    <row r="96">
      <c r="A96" s="16" t="n"/>
      <c r="B96" s="17" t="n"/>
      <c r="C96" s="17" t="n"/>
      <c r="D96" s="16" t="n"/>
      <c r="E96" s="18">
        <f>IF(D96="","",IFERROR(VLOOKUP(D96,'Clients'!$A$4:$J$103,2,FALSE),"Client introuvable"))</f>
        <v/>
      </c>
      <c r="F96" s="16" t="n"/>
      <c r="G96" s="16" t="n"/>
      <c r="H96" s="16" t="n"/>
      <c r="I96" s="19" t="n"/>
      <c r="J96" s="20">
        <f>IF(H96="","",IFERROR(VLOOKUP(H96,'Paramètres'!$A$12:$D$14,3,FALSE),0))</f>
        <v/>
      </c>
      <c r="K96" s="21">
        <f>IF(I96="","",ROUND(I96*J96,2))</f>
        <v/>
      </c>
      <c r="L96" s="20">
        <f>IF(H96="","",IFERROR(VLOOKUP(H96,'Paramètres'!$A$12:$D$14,4,FALSE),0))</f>
        <v/>
      </c>
      <c r="M96" s="21">
        <f>IF(I96="","",ROUND(I96*L96,2))</f>
        <v/>
      </c>
      <c r="N96" s="21">
        <f>IF(I96="","",ROUND(I96+K96+M96,2))</f>
        <v/>
      </c>
      <c r="O96" s="19" t="n"/>
      <c r="P96" s="17" t="n"/>
      <c r="Q96" s="16" t="n"/>
      <c r="R96" s="18">
        <f>IF(A96="","",IF(O96&lt;=0,"Non payé",IF(O96&lt;N96,"Partiellement payé",IF(O96&gt;N96,"À vérifier","Payé"))))</f>
        <v/>
      </c>
      <c r="S96" s="21">
        <f>IF(A96="","",ROUND(N96-O96,2))</f>
        <v/>
      </c>
      <c r="T96" s="21">
        <f>IF(A96="","",IFERROR(MIN(I96,ROUND(O96/N96*I96,2)),0))</f>
        <v/>
      </c>
      <c r="U96" s="21">
        <f>IF(A96="","",IFERROR(ROUND(O96/N96*K96,2),0))</f>
        <v/>
      </c>
      <c r="V96" s="21">
        <f>IF(A96="","",IFERROR(ROUND(O96/N96*M96,2),0))</f>
        <v/>
      </c>
      <c r="W96" s="21">
        <f>IF(A96="","",ROUND(N96-(I96+K96+M96),2))</f>
        <v/>
      </c>
      <c r="X96" s="18">
        <f>IF(A96="","",IF(E96="Client introuvable","Code client introuvable",IF(O96&gt;N96,"Encaissement supérieur au total",IF(AND(C96&lt;B96,C96&lt;&gt;""),"Date d’échéance invalide",IF(MAX(W96,-W96)&gt;0.01,"Écart de calcul à vérifier",IF(AND(R96&lt;&gt;"Payé",C96&lt;'Paramètres'!$B$6,C96&lt;&gt;""),"Échéance dépassée","OK"))))))</f>
        <v/>
      </c>
      <c r="Y96" s="16" t="n"/>
    </row>
    <row r="97">
      <c r="A97" s="16" t="n"/>
      <c r="B97" s="17" t="n"/>
      <c r="C97" s="17" t="n"/>
      <c r="D97" s="16" t="n"/>
      <c r="E97" s="18">
        <f>IF(D97="","",IFERROR(VLOOKUP(D97,'Clients'!$A$4:$J$103,2,FALSE),"Client introuvable"))</f>
        <v/>
      </c>
      <c r="F97" s="16" t="n"/>
      <c r="G97" s="16" t="n"/>
      <c r="H97" s="16" t="n"/>
      <c r="I97" s="19" t="n"/>
      <c r="J97" s="20">
        <f>IF(H97="","",IFERROR(VLOOKUP(H97,'Paramètres'!$A$12:$D$14,3,FALSE),0))</f>
        <v/>
      </c>
      <c r="K97" s="21">
        <f>IF(I97="","",ROUND(I97*J97,2))</f>
        <v/>
      </c>
      <c r="L97" s="20">
        <f>IF(H97="","",IFERROR(VLOOKUP(H97,'Paramètres'!$A$12:$D$14,4,FALSE),0))</f>
        <v/>
      </c>
      <c r="M97" s="21">
        <f>IF(I97="","",ROUND(I97*L97,2))</f>
        <v/>
      </c>
      <c r="N97" s="21">
        <f>IF(I97="","",ROUND(I97+K97+M97,2))</f>
        <v/>
      </c>
      <c r="O97" s="19" t="n"/>
      <c r="P97" s="17" t="n"/>
      <c r="Q97" s="16" t="n"/>
      <c r="R97" s="18">
        <f>IF(A97="","",IF(O97&lt;=0,"Non payé",IF(O97&lt;N97,"Partiellement payé",IF(O97&gt;N97,"À vérifier","Payé"))))</f>
        <v/>
      </c>
      <c r="S97" s="21">
        <f>IF(A97="","",ROUND(N97-O97,2))</f>
        <v/>
      </c>
      <c r="T97" s="21">
        <f>IF(A97="","",IFERROR(MIN(I97,ROUND(O97/N97*I97,2)),0))</f>
        <v/>
      </c>
      <c r="U97" s="21">
        <f>IF(A97="","",IFERROR(ROUND(O97/N97*K97,2),0))</f>
        <v/>
      </c>
      <c r="V97" s="21">
        <f>IF(A97="","",IFERROR(ROUND(O97/N97*M97,2),0))</f>
        <v/>
      </c>
      <c r="W97" s="21">
        <f>IF(A97="","",ROUND(N97-(I97+K97+M97),2))</f>
        <v/>
      </c>
      <c r="X97" s="18">
        <f>IF(A97="","",IF(E97="Client introuvable","Code client introuvable",IF(O97&gt;N97,"Encaissement supérieur au total",IF(AND(C97&lt;B97,C97&lt;&gt;""),"Date d’échéance invalide",IF(MAX(W97,-W97)&gt;0.01,"Écart de calcul à vérifier",IF(AND(R97&lt;&gt;"Payé",C97&lt;'Paramètres'!$B$6,C97&lt;&gt;""),"Échéance dépassée","OK"))))))</f>
        <v/>
      </c>
      <c r="Y97" s="16" t="n"/>
    </row>
    <row r="98">
      <c r="A98" s="16" t="n"/>
      <c r="B98" s="17" t="n"/>
      <c r="C98" s="17" t="n"/>
      <c r="D98" s="16" t="n"/>
      <c r="E98" s="18">
        <f>IF(D98="","",IFERROR(VLOOKUP(D98,'Clients'!$A$4:$J$103,2,FALSE),"Client introuvable"))</f>
        <v/>
      </c>
      <c r="F98" s="16" t="n"/>
      <c r="G98" s="16" t="n"/>
      <c r="H98" s="16" t="n"/>
      <c r="I98" s="19" t="n"/>
      <c r="J98" s="20">
        <f>IF(H98="","",IFERROR(VLOOKUP(H98,'Paramètres'!$A$12:$D$14,3,FALSE),0))</f>
        <v/>
      </c>
      <c r="K98" s="21">
        <f>IF(I98="","",ROUND(I98*J98,2))</f>
        <v/>
      </c>
      <c r="L98" s="20">
        <f>IF(H98="","",IFERROR(VLOOKUP(H98,'Paramètres'!$A$12:$D$14,4,FALSE),0))</f>
        <v/>
      </c>
      <c r="M98" s="21">
        <f>IF(I98="","",ROUND(I98*L98,2))</f>
        <v/>
      </c>
      <c r="N98" s="21">
        <f>IF(I98="","",ROUND(I98+K98+M98,2))</f>
        <v/>
      </c>
      <c r="O98" s="19" t="n"/>
      <c r="P98" s="17" t="n"/>
      <c r="Q98" s="16" t="n"/>
      <c r="R98" s="18">
        <f>IF(A98="","",IF(O98&lt;=0,"Non payé",IF(O98&lt;N98,"Partiellement payé",IF(O98&gt;N98,"À vérifier","Payé"))))</f>
        <v/>
      </c>
      <c r="S98" s="21">
        <f>IF(A98="","",ROUND(N98-O98,2))</f>
        <v/>
      </c>
      <c r="T98" s="21">
        <f>IF(A98="","",IFERROR(MIN(I98,ROUND(O98/N98*I98,2)),0))</f>
        <v/>
      </c>
      <c r="U98" s="21">
        <f>IF(A98="","",IFERROR(ROUND(O98/N98*K98,2),0))</f>
        <v/>
      </c>
      <c r="V98" s="21">
        <f>IF(A98="","",IFERROR(ROUND(O98/N98*M98,2),0))</f>
        <v/>
      </c>
      <c r="W98" s="21">
        <f>IF(A98="","",ROUND(N98-(I98+K98+M98),2))</f>
        <v/>
      </c>
      <c r="X98" s="18">
        <f>IF(A98="","",IF(E98="Client introuvable","Code client introuvable",IF(O98&gt;N98,"Encaissement supérieur au total",IF(AND(C98&lt;B98,C98&lt;&gt;""),"Date d’échéance invalide",IF(MAX(W98,-W98)&gt;0.01,"Écart de calcul à vérifier",IF(AND(R98&lt;&gt;"Payé",C98&lt;'Paramètres'!$B$6,C98&lt;&gt;""),"Échéance dépassée","OK"))))))</f>
        <v/>
      </c>
      <c r="Y98" s="16" t="n"/>
    </row>
    <row r="99">
      <c r="A99" s="16" t="n"/>
      <c r="B99" s="17" t="n"/>
      <c r="C99" s="17" t="n"/>
      <c r="D99" s="16" t="n"/>
      <c r="E99" s="18">
        <f>IF(D99="","",IFERROR(VLOOKUP(D99,'Clients'!$A$4:$J$103,2,FALSE),"Client introuvable"))</f>
        <v/>
      </c>
      <c r="F99" s="16" t="n"/>
      <c r="G99" s="16" t="n"/>
      <c r="H99" s="16" t="n"/>
      <c r="I99" s="19" t="n"/>
      <c r="J99" s="20">
        <f>IF(H99="","",IFERROR(VLOOKUP(H99,'Paramètres'!$A$12:$D$14,3,FALSE),0))</f>
        <v/>
      </c>
      <c r="K99" s="21">
        <f>IF(I99="","",ROUND(I99*J99,2))</f>
        <v/>
      </c>
      <c r="L99" s="20">
        <f>IF(H99="","",IFERROR(VLOOKUP(H99,'Paramètres'!$A$12:$D$14,4,FALSE),0))</f>
        <v/>
      </c>
      <c r="M99" s="21">
        <f>IF(I99="","",ROUND(I99*L99,2))</f>
        <v/>
      </c>
      <c r="N99" s="21">
        <f>IF(I99="","",ROUND(I99+K99+M99,2))</f>
        <v/>
      </c>
      <c r="O99" s="19" t="n"/>
      <c r="P99" s="17" t="n"/>
      <c r="Q99" s="16" t="n"/>
      <c r="R99" s="18">
        <f>IF(A99="","",IF(O99&lt;=0,"Non payé",IF(O99&lt;N99,"Partiellement payé",IF(O99&gt;N99,"À vérifier","Payé"))))</f>
        <v/>
      </c>
      <c r="S99" s="21">
        <f>IF(A99="","",ROUND(N99-O99,2))</f>
        <v/>
      </c>
      <c r="T99" s="21">
        <f>IF(A99="","",IFERROR(MIN(I99,ROUND(O99/N99*I99,2)),0))</f>
        <v/>
      </c>
      <c r="U99" s="21">
        <f>IF(A99="","",IFERROR(ROUND(O99/N99*K99,2),0))</f>
        <v/>
      </c>
      <c r="V99" s="21">
        <f>IF(A99="","",IFERROR(ROUND(O99/N99*M99,2),0))</f>
        <v/>
      </c>
      <c r="W99" s="21">
        <f>IF(A99="","",ROUND(N99-(I99+K99+M99),2))</f>
        <v/>
      </c>
      <c r="X99" s="18">
        <f>IF(A99="","",IF(E99="Client introuvable","Code client introuvable",IF(O99&gt;N99,"Encaissement supérieur au total",IF(AND(C99&lt;B99,C99&lt;&gt;""),"Date d’échéance invalide",IF(MAX(W99,-W99)&gt;0.01,"Écart de calcul à vérifier",IF(AND(R99&lt;&gt;"Payé",C99&lt;'Paramètres'!$B$6,C99&lt;&gt;""),"Échéance dépassée","OK"))))))</f>
        <v/>
      </c>
      <c r="Y99" s="16" t="n"/>
    </row>
    <row r="100">
      <c r="A100" s="16" t="n"/>
      <c r="B100" s="17" t="n"/>
      <c r="C100" s="17" t="n"/>
      <c r="D100" s="16" t="n"/>
      <c r="E100" s="18">
        <f>IF(D100="","",IFERROR(VLOOKUP(D100,'Clients'!$A$4:$J$103,2,FALSE),"Client introuvable"))</f>
        <v/>
      </c>
      <c r="F100" s="16" t="n"/>
      <c r="G100" s="16" t="n"/>
      <c r="H100" s="16" t="n"/>
      <c r="I100" s="19" t="n"/>
      <c r="J100" s="20">
        <f>IF(H100="","",IFERROR(VLOOKUP(H100,'Paramètres'!$A$12:$D$14,3,FALSE),0))</f>
        <v/>
      </c>
      <c r="K100" s="21">
        <f>IF(I100="","",ROUND(I100*J100,2))</f>
        <v/>
      </c>
      <c r="L100" s="20">
        <f>IF(H100="","",IFERROR(VLOOKUP(H100,'Paramètres'!$A$12:$D$14,4,FALSE),0))</f>
        <v/>
      </c>
      <c r="M100" s="21">
        <f>IF(I100="","",ROUND(I100*L100,2))</f>
        <v/>
      </c>
      <c r="N100" s="21">
        <f>IF(I100="","",ROUND(I100+K100+M100,2))</f>
        <v/>
      </c>
      <c r="O100" s="19" t="n"/>
      <c r="P100" s="17" t="n"/>
      <c r="Q100" s="16" t="n"/>
      <c r="R100" s="18">
        <f>IF(A100="","",IF(O100&lt;=0,"Non payé",IF(O100&lt;N100,"Partiellement payé",IF(O100&gt;N100,"À vérifier","Payé"))))</f>
        <v/>
      </c>
      <c r="S100" s="21">
        <f>IF(A100="","",ROUND(N100-O100,2))</f>
        <v/>
      </c>
      <c r="T100" s="21">
        <f>IF(A100="","",IFERROR(MIN(I100,ROUND(O100/N100*I100,2)),0))</f>
        <v/>
      </c>
      <c r="U100" s="21">
        <f>IF(A100="","",IFERROR(ROUND(O100/N100*K100,2),0))</f>
        <v/>
      </c>
      <c r="V100" s="21">
        <f>IF(A100="","",IFERROR(ROUND(O100/N100*M100,2),0))</f>
        <v/>
      </c>
      <c r="W100" s="21">
        <f>IF(A100="","",ROUND(N100-(I100+K100+M100),2))</f>
        <v/>
      </c>
      <c r="X100" s="18">
        <f>IF(A100="","",IF(E100="Client introuvable","Code client introuvable",IF(O100&gt;N100,"Encaissement supérieur au total",IF(AND(C100&lt;B100,C100&lt;&gt;""),"Date d’échéance invalide",IF(MAX(W100,-W100)&gt;0.01,"Écart de calcul à vérifier",IF(AND(R100&lt;&gt;"Payé",C100&lt;'Paramètres'!$B$6,C100&lt;&gt;""),"Échéance dépassée","OK"))))))</f>
        <v/>
      </c>
      <c r="Y100" s="16" t="n"/>
    </row>
    <row r="101">
      <c r="A101" s="16" t="n"/>
      <c r="B101" s="17" t="n"/>
      <c r="C101" s="17" t="n"/>
      <c r="D101" s="16" t="n"/>
      <c r="E101" s="18">
        <f>IF(D101="","",IFERROR(VLOOKUP(D101,'Clients'!$A$4:$J$103,2,FALSE),"Client introuvable"))</f>
        <v/>
      </c>
      <c r="F101" s="16" t="n"/>
      <c r="G101" s="16" t="n"/>
      <c r="H101" s="16" t="n"/>
      <c r="I101" s="19" t="n"/>
      <c r="J101" s="20">
        <f>IF(H101="","",IFERROR(VLOOKUP(H101,'Paramètres'!$A$12:$D$14,3,FALSE),0))</f>
        <v/>
      </c>
      <c r="K101" s="21">
        <f>IF(I101="","",ROUND(I101*J101,2))</f>
        <v/>
      </c>
      <c r="L101" s="20">
        <f>IF(H101="","",IFERROR(VLOOKUP(H101,'Paramètres'!$A$12:$D$14,4,FALSE),0))</f>
        <v/>
      </c>
      <c r="M101" s="21">
        <f>IF(I101="","",ROUND(I101*L101,2))</f>
        <v/>
      </c>
      <c r="N101" s="21">
        <f>IF(I101="","",ROUND(I101+K101+M101,2))</f>
        <v/>
      </c>
      <c r="O101" s="19" t="n"/>
      <c r="P101" s="17" t="n"/>
      <c r="Q101" s="16" t="n"/>
      <c r="R101" s="18">
        <f>IF(A101="","",IF(O101&lt;=0,"Non payé",IF(O101&lt;N101,"Partiellement payé",IF(O101&gt;N101,"À vérifier","Payé"))))</f>
        <v/>
      </c>
      <c r="S101" s="21">
        <f>IF(A101="","",ROUND(N101-O101,2))</f>
        <v/>
      </c>
      <c r="T101" s="21">
        <f>IF(A101="","",IFERROR(MIN(I101,ROUND(O101/N101*I101,2)),0))</f>
        <v/>
      </c>
      <c r="U101" s="21">
        <f>IF(A101="","",IFERROR(ROUND(O101/N101*K101,2),0))</f>
        <v/>
      </c>
      <c r="V101" s="21">
        <f>IF(A101="","",IFERROR(ROUND(O101/N101*M101,2),0))</f>
        <v/>
      </c>
      <c r="W101" s="21">
        <f>IF(A101="","",ROUND(N101-(I101+K101+M101),2))</f>
        <v/>
      </c>
      <c r="X101" s="18">
        <f>IF(A101="","",IF(E101="Client introuvable","Code client introuvable",IF(O101&gt;N101,"Encaissement supérieur au total",IF(AND(C101&lt;B101,C101&lt;&gt;""),"Date d’échéance invalide",IF(MAX(W101,-W101)&gt;0.01,"Écart de calcul à vérifier",IF(AND(R101&lt;&gt;"Payé",C101&lt;'Paramètres'!$B$6,C101&lt;&gt;""),"Échéance dépassée","OK"))))))</f>
        <v/>
      </c>
      <c r="Y101" s="16" t="n"/>
    </row>
    <row r="102">
      <c r="A102" s="16" t="n"/>
      <c r="B102" s="17" t="n"/>
      <c r="C102" s="17" t="n"/>
      <c r="D102" s="16" t="n"/>
      <c r="E102" s="18">
        <f>IF(D102="","",IFERROR(VLOOKUP(D102,'Clients'!$A$4:$J$103,2,FALSE),"Client introuvable"))</f>
        <v/>
      </c>
      <c r="F102" s="16" t="n"/>
      <c r="G102" s="16" t="n"/>
      <c r="H102" s="16" t="n"/>
      <c r="I102" s="19" t="n"/>
      <c r="J102" s="20">
        <f>IF(H102="","",IFERROR(VLOOKUP(H102,'Paramètres'!$A$12:$D$14,3,FALSE),0))</f>
        <v/>
      </c>
      <c r="K102" s="21">
        <f>IF(I102="","",ROUND(I102*J102,2))</f>
        <v/>
      </c>
      <c r="L102" s="20">
        <f>IF(H102="","",IFERROR(VLOOKUP(H102,'Paramètres'!$A$12:$D$14,4,FALSE),0))</f>
        <v/>
      </c>
      <c r="M102" s="21">
        <f>IF(I102="","",ROUND(I102*L102,2))</f>
        <v/>
      </c>
      <c r="N102" s="21">
        <f>IF(I102="","",ROUND(I102+K102+M102,2))</f>
        <v/>
      </c>
      <c r="O102" s="19" t="n"/>
      <c r="P102" s="17" t="n"/>
      <c r="Q102" s="16" t="n"/>
      <c r="R102" s="18">
        <f>IF(A102="","",IF(O102&lt;=0,"Non payé",IF(O102&lt;N102,"Partiellement payé",IF(O102&gt;N102,"À vérifier","Payé"))))</f>
        <v/>
      </c>
      <c r="S102" s="21">
        <f>IF(A102="","",ROUND(N102-O102,2))</f>
        <v/>
      </c>
      <c r="T102" s="21">
        <f>IF(A102="","",IFERROR(MIN(I102,ROUND(O102/N102*I102,2)),0))</f>
        <v/>
      </c>
      <c r="U102" s="21">
        <f>IF(A102="","",IFERROR(ROUND(O102/N102*K102,2),0))</f>
        <v/>
      </c>
      <c r="V102" s="21">
        <f>IF(A102="","",IFERROR(ROUND(O102/N102*M102,2),0))</f>
        <v/>
      </c>
      <c r="W102" s="21">
        <f>IF(A102="","",ROUND(N102-(I102+K102+M102),2))</f>
        <v/>
      </c>
      <c r="X102" s="18">
        <f>IF(A102="","",IF(E102="Client introuvable","Code client introuvable",IF(O102&gt;N102,"Encaissement supérieur au total",IF(AND(C102&lt;B102,C102&lt;&gt;""),"Date d’échéance invalide",IF(MAX(W102,-W102)&gt;0.01,"Écart de calcul à vérifier",IF(AND(R102&lt;&gt;"Payé",C102&lt;'Paramètres'!$B$6,C102&lt;&gt;""),"Échéance dépassée","OK"))))))</f>
        <v/>
      </c>
      <c r="Y102" s="16" t="n"/>
    </row>
    <row r="103">
      <c r="A103" s="16" t="n"/>
      <c r="B103" s="17" t="n"/>
      <c r="C103" s="17" t="n"/>
      <c r="D103" s="16" t="n"/>
      <c r="E103" s="18">
        <f>IF(D103="","",IFERROR(VLOOKUP(D103,'Clients'!$A$4:$J$103,2,FALSE),"Client introuvable"))</f>
        <v/>
      </c>
      <c r="F103" s="16" t="n"/>
      <c r="G103" s="16" t="n"/>
      <c r="H103" s="16" t="n"/>
      <c r="I103" s="19" t="n"/>
      <c r="J103" s="20">
        <f>IF(H103="","",IFERROR(VLOOKUP(H103,'Paramètres'!$A$12:$D$14,3,FALSE),0))</f>
        <v/>
      </c>
      <c r="K103" s="21">
        <f>IF(I103="","",ROUND(I103*J103,2))</f>
        <v/>
      </c>
      <c r="L103" s="20">
        <f>IF(H103="","",IFERROR(VLOOKUP(H103,'Paramètres'!$A$12:$D$14,4,FALSE),0))</f>
        <v/>
      </c>
      <c r="M103" s="21">
        <f>IF(I103="","",ROUND(I103*L103,2))</f>
        <v/>
      </c>
      <c r="N103" s="21">
        <f>IF(I103="","",ROUND(I103+K103+M103,2))</f>
        <v/>
      </c>
      <c r="O103" s="19" t="n"/>
      <c r="P103" s="17" t="n"/>
      <c r="Q103" s="16" t="n"/>
      <c r="R103" s="18">
        <f>IF(A103="","",IF(O103&lt;=0,"Non payé",IF(O103&lt;N103,"Partiellement payé",IF(O103&gt;N103,"À vérifier","Payé"))))</f>
        <v/>
      </c>
      <c r="S103" s="21">
        <f>IF(A103="","",ROUND(N103-O103,2))</f>
        <v/>
      </c>
      <c r="T103" s="21">
        <f>IF(A103="","",IFERROR(MIN(I103,ROUND(O103/N103*I103,2)),0))</f>
        <v/>
      </c>
      <c r="U103" s="21">
        <f>IF(A103="","",IFERROR(ROUND(O103/N103*K103,2),0))</f>
        <v/>
      </c>
      <c r="V103" s="21">
        <f>IF(A103="","",IFERROR(ROUND(O103/N103*M103,2),0))</f>
        <v/>
      </c>
      <c r="W103" s="21">
        <f>IF(A103="","",ROUND(N103-(I103+K103+M103),2))</f>
        <v/>
      </c>
      <c r="X103" s="18">
        <f>IF(A103="","",IF(E103="Client introuvable","Code client introuvable",IF(O103&gt;N103,"Encaissement supérieur au total",IF(AND(C103&lt;B103,C103&lt;&gt;""),"Date d’échéance invalide",IF(MAX(W103,-W103)&gt;0.01,"Écart de calcul à vérifier",IF(AND(R103&lt;&gt;"Payé",C103&lt;'Paramètres'!$B$6,C103&lt;&gt;""),"Échéance dépassée","OK"))))))</f>
        <v/>
      </c>
      <c r="Y103" s="16" t="n"/>
    </row>
    <row r="104">
      <c r="A104" s="16" t="n"/>
      <c r="B104" s="17" t="n"/>
      <c r="C104" s="17" t="n"/>
      <c r="D104" s="16" t="n"/>
      <c r="E104" s="18">
        <f>IF(D104="","",IFERROR(VLOOKUP(D104,'Clients'!$A$4:$J$103,2,FALSE),"Client introuvable"))</f>
        <v/>
      </c>
      <c r="F104" s="16" t="n"/>
      <c r="G104" s="16" t="n"/>
      <c r="H104" s="16" t="n"/>
      <c r="I104" s="19" t="n"/>
      <c r="J104" s="20">
        <f>IF(H104="","",IFERROR(VLOOKUP(H104,'Paramètres'!$A$12:$D$14,3,FALSE),0))</f>
        <v/>
      </c>
      <c r="K104" s="21">
        <f>IF(I104="","",ROUND(I104*J104,2))</f>
        <v/>
      </c>
      <c r="L104" s="20">
        <f>IF(H104="","",IFERROR(VLOOKUP(H104,'Paramètres'!$A$12:$D$14,4,FALSE),0))</f>
        <v/>
      </c>
      <c r="M104" s="21">
        <f>IF(I104="","",ROUND(I104*L104,2))</f>
        <v/>
      </c>
      <c r="N104" s="21">
        <f>IF(I104="","",ROUND(I104+K104+M104,2))</f>
        <v/>
      </c>
      <c r="O104" s="19" t="n"/>
      <c r="P104" s="17" t="n"/>
      <c r="Q104" s="16" t="n"/>
      <c r="R104" s="18">
        <f>IF(A104="","",IF(O104&lt;=0,"Non payé",IF(O104&lt;N104,"Partiellement payé",IF(O104&gt;N104,"À vérifier","Payé"))))</f>
        <v/>
      </c>
      <c r="S104" s="21">
        <f>IF(A104="","",ROUND(N104-O104,2))</f>
        <v/>
      </c>
      <c r="T104" s="21">
        <f>IF(A104="","",IFERROR(MIN(I104,ROUND(O104/N104*I104,2)),0))</f>
        <v/>
      </c>
      <c r="U104" s="21">
        <f>IF(A104="","",IFERROR(ROUND(O104/N104*K104,2),0))</f>
        <v/>
      </c>
      <c r="V104" s="21">
        <f>IF(A104="","",IFERROR(ROUND(O104/N104*M104,2),0))</f>
        <v/>
      </c>
      <c r="W104" s="21">
        <f>IF(A104="","",ROUND(N104-(I104+K104+M104),2))</f>
        <v/>
      </c>
      <c r="X104" s="18">
        <f>IF(A104="","",IF(E104="Client introuvable","Code client introuvable",IF(O104&gt;N104,"Encaissement supérieur au total",IF(AND(C104&lt;B104,C104&lt;&gt;""),"Date d’échéance invalide",IF(MAX(W104,-W104)&gt;0.01,"Écart de calcul à vérifier",IF(AND(R104&lt;&gt;"Payé",C104&lt;'Paramètres'!$B$6,C104&lt;&gt;""),"Échéance dépassée","OK"))))))</f>
        <v/>
      </c>
      <c r="Y104" s="16" t="n"/>
    </row>
  </sheetData>
  <autoFilter ref="A4:Y104"/>
  <mergeCells count="2">
    <mergeCell ref="A1:Y1"/>
    <mergeCell ref="A2:Y2"/>
  </mergeCells>
  <conditionalFormatting sqref="X5:X104">
    <cfRule type="expression" priority="1" dxfId="0">
      <formula>X5="OK"</formula>
    </cfRule>
    <cfRule type="expression" priority="2" dxfId="1">
      <formula>OR(ISNUMBER(FIND("Échéance dépassée",X5)),ISNUMBER(FIND("supérieur",X5)),ISNUMBER(FIND("introuvable",X5)),ISNUMBER(FIND("invalide",X5)),ISNUMBER(FIND("à vérifier",X5)))</formula>
    </cfRule>
  </conditionalFormatting>
  <conditionalFormatting sqref="S5:S104">
    <cfRule type="cellIs" priority="3" operator="greaterThan" dxfId="2">
      <formula>0</formula>
    </cfRule>
  </conditionalFormatting>
  <conditionalFormatting sqref="R5:R104">
    <cfRule type="expression" priority="4" dxfId="0">
      <formula>R5="Payé"</formula>
    </cfRule>
    <cfRule type="expression" priority="5" dxfId="3">
      <formula>R5="Partiellement payé"</formula>
    </cfRule>
    <cfRule type="expression" priority="6" dxfId="1">
      <formula>R5="Non payé"</formula>
    </cfRule>
  </conditionalFormatting>
  <conditionalFormatting sqref="W5:W104">
    <cfRule type="cellIs" priority="7" operator="notEqual" dxfId="1">
      <formula>0</formula>
    </cfRule>
  </conditionalFormatting>
  <dataValidations count="9">
    <dataValidation sqref="A5:A104" showErrorMessage="1" showInputMessage="1" allowBlank="1" type="textLength" operator="lessThanOrEqual">
      <formula1>30</formula1>
    </dataValidation>
    <dataValidation sqref="B5:B104" showErrorMessage="1" showInputMessage="1" allowBlank="1" type="date" operator="between">
      <formula1>DATE(2020,1,1)</formula1>
      <formula2>DATE(2100,12,31)</formula2>
    </dataValidation>
    <dataValidation sqref="C5:C104" showErrorMessage="1" showInputMessage="1" allowBlank="1" type="date" operator="greaterThanOrEqual">
      <formula1>B5</formula1>
    </dataValidation>
    <dataValidation sqref="D5:D104" showErrorMessage="1" showInputMessage="1" allowBlank="1" type="list">
      <formula1>'Clients'!$A$4:$A$103</formula1>
    </dataValidation>
    <dataValidation sqref="G5:G104" showErrorMessage="1" showInputMessage="1" allowBlank="1" type="list">
      <formula1>'Paramètres'!$A$20:$A$27</formula1>
    </dataValidation>
    <dataValidation sqref="H5:H104" showErrorMessage="1" showInputMessage="1" allowBlank="1" type="list">
      <formula1>'Paramètres'!$A$12:$A$14</formula1>
    </dataValidation>
    <dataValidation sqref="I5:I104 O5:O104" showErrorMessage="1" showInputMessage="1" allowBlank="1" type="decimal" operator="greaterThanOrEqual">
      <formula1>0</formula1>
    </dataValidation>
    <dataValidation sqref="P5:P104" showErrorMessage="1" showInputMessage="1" allowBlank="1" type="date" operator="between">
      <formula1>DATE(2020,1,1)</formula1>
      <formula2>DATE(2100,12,31)</formula2>
    </dataValidation>
    <dataValidation sqref="Q5:Q104" showErrorMessage="1" showInputMessage="1" allowBlank="1" type="list">
      <formula1>'Paramètres'!$D$12:$D$19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22" customWidth="1" min="3" max="3"/>
    <col width="30" customWidth="1" min="4" max="4"/>
    <col width="16" customWidth="1" min="5" max="5"/>
    <col width="11" customWidth="1" min="6" max="6"/>
    <col width="20" customWidth="1" min="7" max="7"/>
    <col width="19" customWidth="1" min="8" max="8"/>
    <col width="11" customWidth="1" min="9" max="9"/>
    <col width="32" customWidth="1" min="10" max="10"/>
  </cols>
  <sheetData>
    <row r="1" ht="26" customHeight="1">
      <c r="A1" s="1" t="inlineStr">
        <is>
          <t>Répertoire des clients</t>
        </is>
      </c>
    </row>
    <row r="3" ht="36" customHeight="1">
      <c r="A3" s="15" t="inlineStr">
        <is>
          <t>Code client</t>
        </is>
      </c>
      <c r="B3" s="15" t="inlineStr">
        <is>
          <t>Nom du client</t>
        </is>
      </c>
      <c r="C3" s="15" t="inlineStr">
        <is>
          <t>Personne-ressource</t>
        </is>
      </c>
      <c r="D3" s="15" t="inlineStr">
        <is>
          <t>Courriel</t>
        </is>
      </c>
      <c r="E3" s="15" t="inlineStr">
        <is>
          <t>Ville</t>
        </is>
      </c>
      <c r="F3" s="15" t="inlineStr">
        <is>
          <t>Province</t>
        </is>
      </c>
      <c r="G3" s="15" t="inlineStr">
        <is>
          <t>Code de taxe habituel</t>
        </is>
      </c>
      <c r="H3" s="15" t="inlineStr">
        <is>
          <t>Délai de paiement habituel (jours)</t>
        </is>
      </c>
      <c r="I3" s="15" t="inlineStr">
        <is>
          <t>Actif</t>
        </is>
      </c>
      <c r="J3" s="15" t="inlineStr">
        <is>
          <t>Notes</t>
        </is>
      </c>
    </row>
    <row r="4">
      <c r="A4" s="16" t="inlineStr">
        <is>
          <t>CLI-001</t>
        </is>
      </c>
      <c r="B4" s="16" t="inlineStr">
        <is>
          <t>Atelier Nordik inc.</t>
        </is>
      </c>
      <c r="C4" s="16" t="inlineStr">
        <is>
          <t>Marie Gagnon</t>
        </is>
      </c>
      <c r="D4" s="16" t="inlineStr">
        <is>
          <t>marie@ateliernordik.ca</t>
        </is>
      </c>
      <c r="E4" s="16" t="inlineStr">
        <is>
          <t>Québec</t>
        </is>
      </c>
      <c r="F4" s="16" t="inlineStr">
        <is>
          <t>QC</t>
        </is>
      </c>
      <c r="G4" s="16" t="inlineStr">
        <is>
          <t>TPS-TVQ</t>
        </is>
      </c>
      <c r="H4" s="16" t="n">
        <v>30</v>
      </c>
      <c r="I4" s="16" t="inlineStr">
        <is>
          <t>Oui</t>
        </is>
      </c>
      <c r="J4" s="16" t="inlineStr">
        <is>
          <t>Client récurrent</t>
        </is>
      </c>
    </row>
    <row r="5">
      <c r="A5" s="16" t="inlineStr">
        <is>
          <t>CLI-002</t>
        </is>
      </c>
      <c r="B5" s="16" t="inlineStr">
        <is>
          <t>Clinique Santé Plus</t>
        </is>
      </c>
      <c r="C5" s="16" t="inlineStr">
        <is>
          <t>Éric Bouchard</t>
        </is>
      </c>
      <c r="D5" s="16" t="inlineStr">
        <is>
          <t>ebouchard@santeplus.ca</t>
        </is>
      </c>
      <c r="E5" s="16" t="inlineStr">
        <is>
          <t>Lévis</t>
        </is>
      </c>
      <c r="F5" s="16" t="inlineStr">
        <is>
          <t>QC</t>
        </is>
      </c>
      <c r="G5" s="16" t="inlineStr">
        <is>
          <t>TPS-TVQ</t>
        </is>
      </c>
      <c r="H5" s="16" t="n">
        <v>30</v>
      </c>
      <c r="I5" s="16" t="inlineStr">
        <is>
          <t>Oui</t>
        </is>
      </c>
      <c r="J5" s="16" t="inlineStr">
        <is>
          <t>Services administratifs</t>
        </is>
      </c>
    </row>
    <row r="6">
      <c r="A6" s="16" t="inlineStr">
        <is>
          <t>CLI-003</t>
        </is>
      </c>
      <c r="B6" s="16" t="inlineStr">
        <is>
          <t>Coopérative du Vieux-Port</t>
        </is>
      </c>
      <c r="C6" s="16" t="inlineStr">
        <is>
          <t>Sophie Lavoie</t>
        </is>
      </c>
      <c r="D6" s="16" t="inlineStr">
        <is>
          <t>sophie@coopvieuxport.ca</t>
        </is>
      </c>
      <c r="E6" s="16" t="inlineStr">
        <is>
          <t>Montréal</t>
        </is>
      </c>
      <c r="F6" s="16" t="inlineStr">
        <is>
          <t>QC</t>
        </is>
      </c>
      <c r="G6" s="16" t="inlineStr">
        <is>
          <t>TPS-TVQ</t>
        </is>
      </c>
      <c r="H6" s="16" t="n">
        <v>15</v>
      </c>
      <c r="I6" s="16" t="inlineStr">
        <is>
          <t>Oui</t>
        </is>
      </c>
      <c r="J6" s="16" t="inlineStr">
        <is>
          <t>Mandats de formation</t>
        </is>
      </c>
    </row>
    <row r="7">
      <c r="A7" s="16" t="inlineStr">
        <is>
          <t>CLI-004</t>
        </is>
      </c>
      <c r="B7" s="16" t="inlineStr">
        <is>
          <t>Gestion Immo Boréal</t>
        </is>
      </c>
      <c r="C7" s="16" t="inlineStr">
        <is>
          <t>David Roy</t>
        </is>
      </c>
      <c r="D7" s="16" t="inlineStr">
        <is>
          <t>david@immoboreal.ca</t>
        </is>
      </c>
      <c r="E7" s="16" t="inlineStr">
        <is>
          <t>Trois-Rivières</t>
        </is>
      </c>
      <c r="F7" s="16" t="inlineStr">
        <is>
          <t>QC</t>
        </is>
      </c>
      <c r="G7" s="16" t="inlineStr">
        <is>
          <t>TPS-TVQ</t>
        </is>
      </c>
      <c r="H7" s="16" t="n">
        <v>30</v>
      </c>
      <c r="I7" s="16" t="inlineStr">
        <is>
          <t>Oui</t>
        </is>
      </c>
      <c r="J7" s="16" t="inlineStr">
        <is>
          <t>Consultation ponctuelle</t>
        </is>
      </c>
    </row>
    <row r="8">
      <c r="A8" s="16" t="inlineStr">
        <is>
          <t>CLI-005</t>
        </is>
      </c>
      <c r="B8" s="16" t="inlineStr">
        <is>
          <t>Studio Créatif Mistral</t>
        </is>
      </c>
      <c r="C8" s="16" t="inlineStr">
        <is>
          <t>Amélie Côté</t>
        </is>
      </c>
      <c r="D8" s="16" t="inlineStr">
        <is>
          <t>amelie@mistralstudio.ca</t>
        </is>
      </c>
      <c r="E8" s="16" t="inlineStr">
        <is>
          <t>Sherbrooke</t>
        </is>
      </c>
      <c r="F8" s="16" t="inlineStr">
        <is>
          <t>QC</t>
        </is>
      </c>
      <c r="G8" s="16" t="inlineStr">
        <is>
          <t>TPS-TVQ</t>
        </is>
      </c>
      <c r="H8" s="16" t="n">
        <v>30</v>
      </c>
      <c r="I8" s="16" t="inlineStr">
        <is>
          <t>Oui</t>
        </is>
      </c>
      <c r="J8" s="16" t="inlineStr">
        <is>
          <t>Design et rédaction</t>
        </is>
      </c>
    </row>
    <row r="9">
      <c r="A9" s="16" t="inlineStr">
        <is>
          <t>CLI-006</t>
        </is>
      </c>
      <c r="B9" s="16" t="inlineStr">
        <is>
          <t>Organisme Horizon</t>
        </is>
      </c>
      <c r="C9" s="16" t="inlineStr">
        <is>
          <t>Julie Caron</t>
        </is>
      </c>
      <c r="D9" s="16" t="inlineStr">
        <is>
          <t>julie@horizon.org</t>
        </is>
      </c>
      <c r="E9" s="16" t="inlineStr">
        <is>
          <t>Québec</t>
        </is>
      </c>
      <c r="F9" s="16" t="inlineStr">
        <is>
          <t>QC</t>
        </is>
      </c>
      <c r="G9" s="16" t="inlineStr">
        <is>
          <t>Exonéré</t>
        </is>
      </c>
      <c r="H9" s="16" t="n">
        <v>30</v>
      </c>
      <c r="I9" s="16" t="inlineStr">
        <is>
          <t>Oui</t>
        </is>
      </c>
      <c r="J9" s="16" t="inlineStr">
        <is>
          <t>Traitement fiscal à confirmer au besoin</t>
        </is>
      </c>
    </row>
    <row r="10">
      <c r="A10" s="16" t="inlineStr">
        <is>
          <t>CLI-007</t>
        </is>
      </c>
      <c r="B10" s="16" t="inlineStr">
        <is>
          <t>Boutique Lune &amp; Pin</t>
        </is>
      </c>
      <c r="C10" s="16" t="inlineStr">
        <is>
          <t>Karine Beaulieu</t>
        </is>
      </c>
      <c r="D10" s="16" t="inlineStr">
        <is>
          <t>karine@luneetpin.ca</t>
        </is>
      </c>
      <c r="E10" s="16" t="inlineStr">
        <is>
          <t>Rimouski</t>
        </is>
      </c>
      <c r="F10" s="16" t="inlineStr">
        <is>
          <t>QC</t>
        </is>
      </c>
      <c r="G10" s="16" t="inlineStr">
        <is>
          <t>TPS-TVQ</t>
        </is>
      </c>
      <c r="H10" s="16" t="n">
        <v>15</v>
      </c>
      <c r="I10" s="16" t="inlineStr">
        <is>
          <t>Oui</t>
        </is>
      </c>
      <c r="J10" s="16" t="inlineStr">
        <is>
          <t>Vente et soutien web</t>
        </is>
      </c>
    </row>
    <row r="11">
      <c r="A11" s="16" t="inlineStr">
        <is>
          <t>CLI-008</t>
        </is>
      </c>
      <c r="B11" s="16" t="inlineStr">
        <is>
          <t>Technologies Alta</t>
        </is>
      </c>
      <c r="C11" s="16" t="inlineStr">
        <is>
          <t>Philippe Martin</t>
        </is>
      </c>
      <c r="D11" s="16" t="inlineStr">
        <is>
          <t>philippe@alta.ca</t>
        </is>
      </c>
      <c r="E11" s="16" t="inlineStr">
        <is>
          <t>Montréal</t>
        </is>
      </c>
      <c r="F11" s="16" t="inlineStr">
        <is>
          <t>QC</t>
        </is>
      </c>
      <c r="G11" s="16" t="inlineStr">
        <is>
          <t>TPS-TVQ</t>
        </is>
      </c>
      <c r="H11" s="16" t="n">
        <v>30</v>
      </c>
      <c r="I11" s="16" t="inlineStr">
        <is>
          <t>Oui</t>
        </is>
      </c>
      <c r="J11" s="16" t="inlineStr">
        <is>
          <t>Soutien technique</t>
        </is>
      </c>
    </row>
    <row r="12">
      <c r="A12" s="16" t="inlineStr"/>
      <c r="B12" s="16" t="inlineStr"/>
      <c r="C12" s="16" t="inlineStr"/>
      <c r="D12" s="16" t="inlineStr"/>
      <c r="E12" s="16" t="inlineStr"/>
      <c r="F12" s="16" t="inlineStr"/>
      <c r="G12" s="16" t="inlineStr"/>
      <c r="H12" s="16" t="inlineStr"/>
      <c r="I12" s="16" t="inlineStr"/>
      <c r="J12" s="16" t="inlineStr"/>
    </row>
    <row r="13">
      <c r="A13" s="16" t="inlineStr"/>
      <c r="B13" s="16" t="inlineStr"/>
      <c r="C13" s="16" t="inlineStr"/>
      <c r="D13" s="16" t="inlineStr"/>
      <c r="E13" s="16" t="inlineStr"/>
      <c r="F13" s="16" t="inlineStr"/>
      <c r="G13" s="16" t="inlineStr"/>
      <c r="H13" s="16" t="inlineStr"/>
      <c r="I13" s="16" t="inlineStr"/>
      <c r="J13" s="16" t="inlineStr"/>
    </row>
    <row r="14">
      <c r="A14" s="16" t="inlineStr"/>
      <c r="B14" s="16" t="inlineStr"/>
      <c r="C14" s="16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</row>
    <row r="15">
      <c r="A15" s="16" t="inlineStr"/>
      <c r="B15" s="16" t="inlineStr"/>
      <c r="C15" s="16" t="inlineStr"/>
      <c r="D15" s="16" t="inlineStr"/>
      <c r="E15" s="16" t="inlineStr"/>
      <c r="F15" s="16" t="inlineStr"/>
      <c r="G15" s="16" t="inlineStr"/>
      <c r="H15" s="16" t="inlineStr"/>
      <c r="I15" s="16" t="inlineStr"/>
      <c r="J15" s="16" t="inlineStr"/>
    </row>
    <row r="16">
      <c r="A16" s="16" t="inlineStr"/>
      <c r="B16" s="16" t="inlineStr"/>
      <c r="C16" s="16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</row>
    <row r="17">
      <c r="A17" s="16" t="inlineStr"/>
      <c r="B17" s="16" t="inlineStr"/>
      <c r="C17" s="16" t="inlineStr"/>
      <c r="D17" s="16" t="inlineStr"/>
      <c r="E17" s="16" t="inlineStr"/>
      <c r="F17" s="16" t="inlineStr"/>
      <c r="G17" s="16" t="inlineStr"/>
      <c r="H17" s="16" t="inlineStr"/>
      <c r="I17" s="16" t="inlineStr"/>
      <c r="J17" s="16" t="inlineStr"/>
    </row>
    <row r="18">
      <c r="A18" s="16" t="inlineStr"/>
      <c r="B18" s="16" t="inlineStr"/>
      <c r="C18" s="16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</row>
    <row r="19">
      <c r="A19" s="16" t="inlineStr"/>
      <c r="B19" s="16" t="inlineStr"/>
      <c r="C19" s="16" t="inlineStr"/>
      <c r="D19" s="16" t="inlineStr"/>
      <c r="E19" s="16" t="inlineStr"/>
      <c r="F19" s="16" t="inlineStr"/>
      <c r="G19" s="16" t="inlineStr"/>
      <c r="H19" s="16" t="inlineStr"/>
      <c r="I19" s="16" t="inlineStr"/>
      <c r="J19" s="16" t="inlineStr"/>
    </row>
    <row r="20">
      <c r="A20" s="16" t="inlineStr"/>
      <c r="B20" s="16" t="inlineStr"/>
      <c r="C20" s="16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</row>
    <row r="21">
      <c r="A21" s="16" t="inlineStr"/>
      <c r="B21" s="16" t="inlineStr"/>
      <c r="C21" s="16" t="inlineStr"/>
      <c r="D21" s="16" t="inlineStr"/>
      <c r="E21" s="16" t="inlineStr"/>
      <c r="F21" s="16" t="inlineStr"/>
      <c r="G21" s="16" t="inlineStr"/>
      <c r="H21" s="16" t="inlineStr"/>
      <c r="I21" s="16" t="inlineStr"/>
      <c r="J21" s="16" t="inlineStr"/>
    </row>
    <row r="22">
      <c r="A22" s="16" t="inlineStr"/>
      <c r="B22" s="16" t="inlineStr"/>
      <c r="C22" s="16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</row>
    <row r="23">
      <c r="A23" s="16" t="inlineStr"/>
      <c r="B23" s="16" t="inlineStr"/>
      <c r="C23" s="16" t="inlineStr"/>
      <c r="D23" s="16" t="inlineStr"/>
      <c r="E23" s="16" t="inlineStr"/>
      <c r="F23" s="16" t="inlineStr"/>
      <c r="G23" s="16" t="inlineStr"/>
      <c r="H23" s="16" t="inlineStr"/>
      <c r="I23" s="16" t="inlineStr"/>
      <c r="J23" s="16" t="inlineStr"/>
    </row>
    <row r="24">
      <c r="A24" s="16" t="inlineStr"/>
      <c r="B24" s="16" t="inlineStr"/>
      <c r="C24" s="16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</row>
    <row r="25">
      <c r="A25" s="16" t="inlineStr"/>
      <c r="B25" s="16" t="inlineStr"/>
      <c r="C25" s="16" t="inlineStr"/>
      <c r="D25" s="16" t="inlineStr"/>
      <c r="E25" s="16" t="inlineStr"/>
      <c r="F25" s="16" t="inlineStr"/>
      <c r="G25" s="16" t="inlineStr"/>
      <c r="H25" s="16" t="inlineStr"/>
      <c r="I25" s="16" t="inlineStr"/>
      <c r="J25" s="16" t="inlineStr"/>
    </row>
    <row r="26">
      <c r="A26" s="16" t="inlineStr"/>
      <c r="B26" s="16" t="inlineStr"/>
      <c r="C26" s="16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</row>
    <row r="27">
      <c r="A27" s="16" t="inlineStr"/>
      <c r="B27" s="16" t="inlineStr"/>
      <c r="C27" s="16" t="inlineStr"/>
      <c r="D27" s="16" t="inlineStr"/>
      <c r="E27" s="16" t="inlineStr"/>
      <c r="F27" s="16" t="inlineStr"/>
      <c r="G27" s="16" t="inlineStr"/>
      <c r="H27" s="16" t="inlineStr"/>
      <c r="I27" s="16" t="inlineStr"/>
      <c r="J27" s="16" t="inlineStr"/>
    </row>
    <row r="28">
      <c r="A28" s="16" t="inlineStr"/>
      <c r="B28" s="16" t="inlineStr"/>
      <c r="C28" s="16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</row>
    <row r="29">
      <c r="A29" s="16" t="inlineStr"/>
      <c r="B29" s="16" t="inlineStr"/>
      <c r="C29" s="16" t="inlineStr"/>
      <c r="D29" s="16" t="inlineStr"/>
      <c r="E29" s="16" t="inlineStr"/>
      <c r="F29" s="16" t="inlineStr"/>
      <c r="G29" s="16" t="inlineStr"/>
      <c r="H29" s="16" t="inlineStr"/>
      <c r="I29" s="16" t="inlineStr"/>
      <c r="J29" s="16" t="inlineStr"/>
    </row>
    <row r="30">
      <c r="A30" s="16" t="inlineStr"/>
      <c r="B30" s="16" t="inlineStr"/>
      <c r="C30" s="16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</row>
    <row r="31">
      <c r="A31" s="16" t="inlineStr"/>
      <c r="B31" s="16" t="inlineStr"/>
      <c r="C31" s="16" t="inlineStr"/>
      <c r="D31" s="16" t="inlineStr"/>
      <c r="E31" s="16" t="inlineStr"/>
      <c r="F31" s="16" t="inlineStr"/>
      <c r="G31" s="16" t="inlineStr"/>
      <c r="H31" s="16" t="inlineStr"/>
      <c r="I31" s="16" t="inlineStr"/>
      <c r="J31" s="16" t="inlineStr"/>
    </row>
    <row r="32">
      <c r="A32" s="16" t="inlineStr"/>
      <c r="B32" s="16" t="inlineStr"/>
      <c r="C32" s="16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</row>
    <row r="33">
      <c r="A33" s="16" t="inlineStr"/>
      <c r="B33" s="16" t="inlineStr"/>
      <c r="C33" s="16" t="inlineStr"/>
      <c r="D33" s="16" t="inlineStr"/>
      <c r="E33" s="16" t="inlineStr"/>
      <c r="F33" s="16" t="inlineStr"/>
      <c r="G33" s="16" t="inlineStr"/>
      <c r="H33" s="16" t="inlineStr"/>
      <c r="I33" s="16" t="inlineStr"/>
      <c r="J33" s="16" t="inlineStr"/>
    </row>
    <row r="34">
      <c r="A34" s="16" t="inlineStr"/>
      <c r="B34" s="16" t="inlineStr"/>
      <c r="C34" s="16" t="inlineStr"/>
      <c r="D34" s="16" t="inlineStr"/>
      <c r="E34" s="16" t="inlineStr"/>
      <c r="F34" s="16" t="inlineStr"/>
      <c r="G34" s="16" t="inlineStr"/>
      <c r="H34" s="16" t="inlineStr"/>
      <c r="I34" s="16" t="inlineStr"/>
      <c r="J34" s="16" t="inlineStr"/>
    </row>
    <row r="35">
      <c r="A35" s="16" t="inlineStr"/>
      <c r="B35" s="16" t="inlineStr"/>
      <c r="C35" s="16" t="inlineStr"/>
      <c r="D35" s="16" t="inlineStr"/>
      <c r="E35" s="16" t="inlineStr"/>
      <c r="F35" s="16" t="inlineStr"/>
      <c r="G35" s="16" t="inlineStr"/>
      <c r="H35" s="16" t="inlineStr"/>
      <c r="I35" s="16" t="inlineStr"/>
      <c r="J35" s="16" t="inlineStr"/>
    </row>
    <row r="36">
      <c r="A36" s="16" t="inlineStr"/>
      <c r="B36" s="16" t="inlineStr"/>
      <c r="C36" s="16" t="inlineStr"/>
      <c r="D36" s="16" t="inlineStr"/>
      <c r="E36" s="16" t="inlineStr"/>
      <c r="F36" s="16" t="inlineStr"/>
      <c r="G36" s="16" t="inlineStr"/>
      <c r="H36" s="16" t="inlineStr"/>
      <c r="I36" s="16" t="inlineStr"/>
      <c r="J36" s="16" t="inlineStr"/>
    </row>
    <row r="37">
      <c r="A37" s="16" t="inlineStr"/>
      <c r="B37" s="16" t="inlineStr"/>
      <c r="C37" s="16" t="inlineStr"/>
      <c r="D37" s="16" t="inlineStr"/>
      <c r="E37" s="16" t="inlineStr"/>
      <c r="F37" s="16" t="inlineStr"/>
      <c r="G37" s="16" t="inlineStr"/>
      <c r="H37" s="16" t="inlineStr"/>
      <c r="I37" s="16" t="inlineStr"/>
      <c r="J37" s="16" t="inlineStr"/>
    </row>
    <row r="38">
      <c r="A38" s="16" t="inlineStr"/>
      <c r="B38" s="16" t="inlineStr"/>
      <c r="C38" s="16" t="inlineStr"/>
      <c r="D38" s="16" t="inlineStr"/>
      <c r="E38" s="16" t="inlineStr"/>
      <c r="F38" s="16" t="inlineStr"/>
      <c r="G38" s="16" t="inlineStr"/>
      <c r="H38" s="16" t="inlineStr"/>
      <c r="I38" s="16" t="inlineStr"/>
      <c r="J38" s="16" t="inlineStr"/>
    </row>
    <row r="39">
      <c r="A39" s="16" t="inlineStr"/>
      <c r="B39" s="16" t="inlineStr"/>
      <c r="C39" s="16" t="inlineStr"/>
      <c r="D39" s="16" t="inlineStr"/>
      <c r="E39" s="16" t="inlineStr"/>
      <c r="F39" s="16" t="inlineStr"/>
      <c r="G39" s="16" t="inlineStr"/>
      <c r="H39" s="16" t="inlineStr"/>
      <c r="I39" s="16" t="inlineStr"/>
      <c r="J39" s="16" t="inlineStr"/>
    </row>
    <row r="40">
      <c r="A40" s="16" t="inlineStr"/>
      <c r="B40" s="16" t="inlineStr"/>
      <c r="C40" s="16" t="inlineStr"/>
      <c r="D40" s="16" t="inlineStr"/>
      <c r="E40" s="16" t="inlineStr"/>
      <c r="F40" s="16" t="inlineStr"/>
      <c r="G40" s="16" t="inlineStr"/>
      <c r="H40" s="16" t="inlineStr"/>
      <c r="I40" s="16" t="inlineStr"/>
      <c r="J40" s="16" t="inlineStr"/>
    </row>
    <row r="41">
      <c r="A41" s="16" t="inlineStr"/>
      <c r="B41" s="16" t="inlineStr"/>
      <c r="C41" s="16" t="inlineStr"/>
      <c r="D41" s="16" t="inlineStr"/>
      <c r="E41" s="16" t="inlineStr"/>
      <c r="F41" s="16" t="inlineStr"/>
      <c r="G41" s="16" t="inlineStr"/>
      <c r="H41" s="16" t="inlineStr"/>
      <c r="I41" s="16" t="inlineStr"/>
      <c r="J41" s="16" t="inlineStr"/>
    </row>
    <row r="42">
      <c r="A42" s="16" t="inlineStr"/>
      <c r="B42" s="16" t="inlineStr"/>
      <c r="C42" s="16" t="inlineStr"/>
      <c r="D42" s="16" t="inlineStr"/>
      <c r="E42" s="16" t="inlineStr"/>
      <c r="F42" s="16" t="inlineStr"/>
      <c r="G42" s="16" t="inlineStr"/>
      <c r="H42" s="16" t="inlineStr"/>
      <c r="I42" s="16" t="inlineStr"/>
      <c r="J42" s="16" t="inlineStr"/>
    </row>
    <row r="43">
      <c r="A43" s="16" t="inlineStr"/>
      <c r="B43" s="16" t="inlineStr"/>
      <c r="C43" s="16" t="inlineStr"/>
      <c r="D43" s="16" t="inlineStr"/>
      <c r="E43" s="16" t="inlineStr"/>
      <c r="F43" s="16" t="inlineStr"/>
      <c r="G43" s="16" t="inlineStr"/>
      <c r="H43" s="16" t="inlineStr"/>
      <c r="I43" s="16" t="inlineStr"/>
      <c r="J43" s="16" t="inlineStr"/>
    </row>
    <row r="44">
      <c r="A44" s="16" t="inlineStr"/>
      <c r="B44" s="16" t="inlineStr"/>
      <c r="C44" s="16" t="inlineStr"/>
      <c r="D44" s="16" t="inlineStr"/>
      <c r="E44" s="16" t="inlineStr"/>
      <c r="F44" s="16" t="inlineStr"/>
      <c r="G44" s="16" t="inlineStr"/>
      <c r="H44" s="16" t="inlineStr"/>
      <c r="I44" s="16" t="inlineStr"/>
      <c r="J44" s="16" t="inlineStr"/>
    </row>
    <row r="45">
      <c r="A45" s="16" t="inlineStr"/>
      <c r="B45" s="16" t="inlineStr"/>
      <c r="C45" s="16" t="inlineStr"/>
      <c r="D45" s="16" t="inlineStr"/>
      <c r="E45" s="16" t="inlineStr"/>
      <c r="F45" s="16" t="inlineStr"/>
      <c r="G45" s="16" t="inlineStr"/>
      <c r="H45" s="16" t="inlineStr"/>
      <c r="I45" s="16" t="inlineStr"/>
      <c r="J45" s="16" t="inlineStr"/>
    </row>
    <row r="46">
      <c r="A46" s="16" t="inlineStr"/>
      <c r="B46" s="16" t="inlineStr"/>
      <c r="C46" s="16" t="inlineStr"/>
      <c r="D46" s="16" t="inlineStr"/>
      <c r="E46" s="16" t="inlineStr"/>
      <c r="F46" s="16" t="inlineStr"/>
      <c r="G46" s="16" t="inlineStr"/>
      <c r="H46" s="16" t="inlineStr"/>
      <c r="I46" s="16" t="inlineStr"/>
      <c r="J46" s="16" t="inlineStr"/>
    </row>
    <row r="47">
      <c r="A47" s="16" t="inlineStr"/>
      <c r="B47" s="16" t="inlineStr"/>
      <c r="C47" s="16" t="inlineStr"/>
      <c r="D47" s="16" t="inlineStr"/>
      <c r="E47" s="16" t="inlineStr"/>
      <c r="F47" s="16" t="inlineStr"/>
      <c r="G47" s="16" t="inlineStr"/>
      <c r="H47" s="16" t="inlineStr"/>
      <c r="I47" s="16" t="inlineStr"/>
      <c r="J47" s="16" t="inlineStr"/>
    </row>
    <row r="48">
      <c r="A48" s="16" t="inlineStr"/>
      <c r="B48" s="16" t="inlineStr"/>
      <c r="C48" s="16" t="inlineStr"/>
      <c r="D48" s="16" t="inlineStr"/>
      <c r="E48" s="16" t="inlineStr"/>
      <c r="F48" s="16" t="inlineStr"/>
      <c r="G48" s="16" t="inlineStr"/>
      <c r="H48" s="16" t="inlineStr"/>
      <c r="I48" s="16" t="inlineStr"/>
      <c r="J48" s="16" t="inlineStr"/>
    </row>
    <row r="49">
      <c r="A49" s="16" t="inlineStr"/>
      <c r="B49" s="16" t="inlineStr"/>
      <c r="C49" s="16" t="inlineStr"/>
      <c r="D49" s="16" t="inlineStr"/>
      <c r="E49" s="16" t="inlineStr"/>
      <c r="F49" s="16" t="inlineStr"/>
      <c r="G49" s="16" t="inlineStr"/>
      <c r="H49" s="16" t="inlineStr"/>
      <c r="I49" s="16" t="inlineStr"/>
      <c r="J49" s="16" t="inlineStr"/>
    </row>
    <row r="50">
      <c r="A50" s="16" t="inlineStr"/>
      <c r="B50" s="16" t="inlineStr"/>
      <c r="C50" s="16" t="inlineStr"/>
      <c r="D50" s="16" t="inlineStr"/>
      <c r="E50" s="16" t="inlineStr"/>
      <c r="F50" s="16" t="inlineStr"/>
      <c r="G50" s="16" t="inlineStr"/>
      <c r="H50" s="16" t="inlineStr"/>
      <c r="I50" s="16" t="inlineStr"/>
      <c r="J50" s="16" t="inlineStr"/>
    </row>
    <row r="51">
      <c r="A51" s="16" t="inlineStr"/>
      <c r="B51" s="16" t="inlineStr"/>
      <c r="C51" s="16" t="inlineStr"/>
      <c r="D51" s="16" t="inlineStr"/>
      <c r="E51" s="16" t="inlineStr"/>
      <c r="F51" s="16" t="inlineStr"/>
      <c r="G51" s="16" t="inlineStr"/>
      <c r="H51" s="16" t="inlineStr"/>
      <c r="I51" s="16" t="inlineStr"/>
      <c r="J51" s="16" t="inlineStr"/>
    </row>
    <row r="52">
      <c r="A52" s="16" t="inlineStr"/>
      <c r="B52" s="16" t="inlineStr"/>
      <c r="C52" s="16" t="inlineStr"/>
      <c r="D52" s="16" t="inlineStr"/>
      <c r="E52" s="16" t="inlineStr"/>
      <c r="F52" s="16" t="inlineStr"/>
      <c r="G52" s="16" t="inlineStr"/>
      <c r="H52" s="16" t="inlineStr"/>
      <c r="I52" s="16" t="inlineStr"/>
      <c r="J52" s="16" t="inlineStr"/>
    </row>
    <row r="53">
      <c r="A53" s="16" t="inlineStr"/>
      <c r="B53" s="16" t="inlineStr"/>
      <c r="C53" s="16" t="inlineStr"/>
      <c r="D53" s="16" t="inlineStr"/>
      <c r="E53" s="16" t="inlineStr"/>
      <c r="F53" s="16" t="inlineStr"/>
      <c r="G53" s="16" t="inlineStr"/>
      <c r="H53" s="16" t="inlineStr"/>
      <c r="I53" s="16" t="inlineStr"/>
      <c r="J53" s="16" t="inlineStr"/>
    </row>
    <row r="54">
      <c r="A54" s="16" t="inlineStr"/>
      <c r="B54" s="16" t="inlineStr"/>
      <c r="C54" s="16" t="inlineStr"/>
      <c r="D54" s="16" t="inlineStr"/>
      <c r="E54" s="16" t="inlineStr"/>
      <c r="F54" s="16" t="inlineStr"/>
      <c r="G54" s="16" t="inlineStr"/>
      <c r="H54" s="16" t="inlineStr"/>
      <c r="I54" s="16" t="inlineStr"/>
      <c r="J54" s="16" t="inlineStr"/>
    </row>
    <row r="55">
      <c r="A55" s="16" t="inlineStr"/>
      <c r="B55" s="16" t="inlineStr"/>
      <c r="C55" s="16" t="inlineStr"/>
      <c r="D55" s="16" t="inlineStr"/>
      <c r="E55" s="16" t="inlineStr"/>
      <c r="F55" s="16" t="inlineStr"/>
      <c r="G55" s="16" t="inlineStr"/>
      <c r="H55" s="16" t="inlineStr"/>
      <c r="I55" s="16" t="inlineStr"/>
      <c r="J55" s="16" t="inlineStr"/>
    </row>
    <row r="56">
      <c r="A56" s="16" t="inlineStr"/>
      <c r="B56" s="16" t="inlineStr"/>
      <c r="C56" s="16" t="inlineStr"/>
      <c r="D56" s="16" t="inlineStr"/>
      <c r="E56" s="16" t="inlineStr"/>
      <c r="F56" s="16" t="inlineStr"/>
      <c r="G56" s="16" t="inlineStr"/>
      <c r="H56" s="16" t="inlineStr"/>
      <c r="I56" s="16" t="inlineStr"/>
      <c r="J56" s="16" t="inlineStr"/>
    </row>
    <row r="57">
      <c r="A57" s="16" t="inlineStr"/>
      <c r="B57" s="16" t="inlineStr"/>
      <c r="C57" s="16" t="inlineStr"/>
      <c r="D57" s="16" t="inlineStr"/>
      <c r="E57" s="16" t="inlineStr"/>
      <c r="F57" s="16" t="inlineStr"/>
      <c r="G57" s="16" t="inlineStr"/>
      <c r="H57" s="16" t="inlineStr"/>
      <c r="I57" s="16" t="inlineStr"/>
      <c r="J57" s="16" t="inlineStr"/>
    </row>
    <row r="58">
      <c r="A58" s="16" t="inlineStr"/>
      <c r="B58" s="16" t="inlineStr"/>
      <c r="C58" s="16" t="inlineStr"/>
      <c r="D58" s="16" t="inlineStr"/>
      <c r="E58" s="16" t="inlineStr"/>
      <c r="F58" s="16" t="inlineStr"/>
      <c r="G58" s="16" t="inlineStr"/>
      <c r="H58" s="16" t="inlineStr"/>
      <c r="I58" s="16" t="inlineStr"/>
      <c r="J58" s="16" t="inlineStr"/>
    </row>
    <row r="59">
      <c r="A59" s="16" t="inlineStr"/>
      <c r="B59" s="16" t="inlineStr"/>
      <c r="C59" s="16" t="inlineStr"/>
      <c r="D59" s="16" t="inlineStr"/>
      <c r="E59" s="16" t="inlineStr"/>
      <c r="F59" s="16" t="inlineStr"/>
      <c r="G59" s="16" t="inlineStr"/>
      <c r="H59" s="16" t="inlineStr"/>
      <c r="I59" s="16" t="inlineStr"/>
      <c r="J59" s="16" t="inlineStr"/>
    </row>
    <row r="60">
      <c r="A60" s="16" t="inlineStr"/>
      <c r="B60" s="16" t="inlineStr"/>
      <c r="C60" s="16" t="inlineStr"/>
      <c r="D60" s="16" t="inlineStr"/>
      <c r="E60" s="16" t="inlineStr"/>
      <c r="F60" s="16" t="inlineStr"/>
      <c r="G60" s="16" t="inlineStr"/>
      <c r="H60" s="16" t="inlineStr"/>
      <c r="I60" s="16" t="inlineStr"/>
      <c r="J60" s="16" t="inlineStr"/>
    </row>
    <row r="61">
      <c r="A61" s="16" t="inlineStr"/>
      <c r="B61" s="16" t="inlineStr"/>
      <c r="C61" s="16" t="inlineStr"/>
      <c r="D61" s="16" t="inlineStr"/>
      <c r="E61" s="16" t="inlineStr"/>
      <c r="F61" s="16" t="inlineStr"/>
      <c r="G61" s="16" t="inlineStr"/>
      <c r="H61" s="16" t="inlineStr"/>
      <c r="I61" s="16" t="inlineStr"/>
      <c r="J61" s="16" t="inlineStr"/>
    </row>
    <row r="62">
      <c r="A62" s="16" t="inlineStr"/>
      <c r="B62" s="16" t="inlineStr"/>
      <c r="C62" s="16" t="inlineStr"/>
      <c r="D62" s="16" t="inlineStr"/>
      <c r="E62" s="16" t="inlineStr"/>
      <c r="F62" s="16" t="inlineStr"/>
      <c r="G62" s="16" t="inlineStr"/>
      <c r="H62" s="16" t="inlineStr"/>
      <c r="I62" s="16" t="inlineStr"/>
      <c r="J62" s="16" t="inlineStr"/>
    </row>
    <row r="63">
      <c r="A63" s="16" t="inlineStr"/>
      <c r="B63" s="16" t="inlineStr"/>
      <c r="C63" s="16" t="inlineStr"/>
      <c r="D63" s="16" t="inlineStr"/>
      <c r="E63" s="16" t="inlineStr"/>
      <c r="F63" s="16" t="inlineStr"/>
      <c r="G63" s="16" t="inlineStr"/>
      <c r="H63" s="16" t="inlineStr"/>
      <c r="I63" s="16" t="inlineStr"/>
      <c r="J63" s="16" t="inlineStr"/>
    </row>
    <row r="64">
      <c r="A64" s="16" t="inlineStr"/>
      <c r="B64" s="16" t="inlineStr"/>
      <c r="C64" s="16" t="inlineStr"/>
      <c r="D64" s="16" t="inlineStr"/>
      <c r="E64" s="16" t="inlineStr"/>
      <c r="F64" s="16" t="inlineStr"/>
      <c r="G64" s="16" t="inlineStr"/>
      <c r="H64" s="16" t="inlineStr"/>
      <c r="I64" s="16" t="inlineStr"/>
      <c r="J64" s="16" t="inlineStr"/>
    </row>
    <row r="65">
      <c r="A65" s="16" t="inlineStr"/>
      <c r="B65" s="16" t="inlineStr"/>
      <c r="C65" s="16" t="inlineStr"/>
      <c r="D65" s="16" t="inlineStr"/>
      <c r="E65" s="16" t="inlineStr"/>
      <c r="F65" s="16" t="inlineStr"/>
      <c r="G65" s="16" t="inlineStr"/>
      <c r="H65" s="16" t="inlineStr"/>
      <c r="I65" s="16" t="inlineStr"/>
      <c r="J65" s="16" t="inlineStr"/>
    </row>
    <row r="66">
      <c r="A66" s="16" t="inlineStr"/>
      <c r="B66" s="16" t="inlineStr"/>
      <c r="C66" s="16" t="inlineStr"/>
      <c r="D66" s="16" t="inlineStr"/>
      <c r="E66" s="16" t="inlineStr"/>
      <c r="F66" s="16" t="inlineStr"/>
      <c r="G66" s="16" t="inlineStr"/>
      <c r="H66" s="16" t="inlineStr"/>
      <c r="I66" s="16" t="inlineStr"/>
      <c r="J66" s="16" t="inlineStr"/>
    </row>
    <row r="67">
      <c r="A67" s="16" t="inlineStr"/>
      <c r="B67" s="16" t="inlineStr"/>
      <c r="C67" s="16" t="inlineStr"/>
      <c r="D67" s="16" t="inlineStr"/>
      <c r="E67" s="16" t="inlineStr"/>
      <c r="F67" s="16" t="inlineStr"/>
      <c r="G67" s="16" t="inlineStr"/>
      <c r="H67" s="16" t="inlineStr"/>
      <c r="I67" s="16" t="inlineStr"/>
      <c r="J67" s="16" t="inlineStr"/>
    </row>
    <row r="68">
      <c r="A68" s="16" t="inlineStr"/>
      <c r="B68" s="16" t="inlineStr"/>
      <c r="C68" s="16" t="inlineStr"/>
      <c r="D68" s="16" t="inlineStr"/>
      <c r="E68" s="16" t="inlineStr"/>
      <c r="F68" s="16" t="inlineStr"/>
      <c r="G68" s="16" t="inlineStr"/>
      <c r="H68" s="16" t="inlineStr"/>
      <c r="I68" s="16" t="inlineStr"/>
      <c r="J68" s="16" t="inlineStr"/>
    </row>
    <row r="69">
      <c r="A69" s="16" t="inlineStr"/>
      <c r="B69" s="16" t="inlineStr"/>
      <c r="C69" s="16" t="inlineStr"/>
      <c r="D69" s="16" t="inlineStr"/>
      <c r="E69" s="16" t="inlineStr"/>
      <c r="F69" s="16" t="inlineStr"/>
      <c r="G69" s="16" t="inlineStr"/>
      <c r="H69" s="16" t="inlineStr"/>
      <c r="I69" s="16" t="inlineStr"/>
      <c r="J69" s="16" t="inlineStr"/>
    </row>
    <row r="70">
      <c r="A70" s="16" t="inlineStr"/>
      <c r="B70" s="16" t="inlineStr"/>
      <c r="C70" s="16" t="inlineStr"/>
      <c r="D70" s="16" t="inlineStr"/>
      <c r="E70" s="16" t="inlineStr"/>
      <c r="F70" s="16" t="inlineStr"/>
      <c r="G70" s="16" t="inlineStr"/>
      <c r="H70" s="16" t="inlineStr"/>
      <c r="I70" s="16" t="inlineStr"/>
      <c r="J70" s="16" t="inlineStr"/>
    </row>
    <row r="71">
      <c r="A71" s="16" t="inlineStr"/>
      <c r="B71" s="16" t="inlineStr"/>
      <c r="C71" s="16" t="inlineStr"/>
      <c r="D71" s="16" t="inlineStr"/>
      <c r="E71" s="16" t="inlineStr"/>
      <c r="F71" s="16" t="inlineStr"/>
      <c r="G71" s="16" t="inlineStr"/>
      <c r="H71" s="16" t="inlineStr"/>
      <c r="I71" s="16" t="inlineStr"/>
      <c r="J71" s="16" t="inlineStr"/>
    </row>
    <row r="72">
      <c r="A72" s="16" t="inlineStr"/>
      <c r="B72" s="16" t="inlineStr"/>
      <c r="C72" s="16" t="inlineStr"/>
      <c r="D72" s="16" t="inlineStr"/>
      <c r="E72" s="16" t="inlineStr"/>
      <c r="F72" s="16" t="inlineStr"/>
      <c r="G72" s="16" t="inlineStr"/>
      <c r="H72" s="16" t="inlineStr"/>
      <c r="I72" s="16" t="inlineStr"/>
      <c r="J72" s="16" t="inlineStr"/>
    </row>
    <row r="73">
      <c r="A73" s="16" t="inlineStr"/>
      <c r="B73" s="16" t="inlineStr"/>
      <c r="C73" s="16" t="inlineStr"/>
      <c r="D73" s="16" t="inlineStr"/>
      <c r="E73" s="16" t="inlineStr"/>
      <c r="F73" s="16" t="inlineStr"/>
      <c r="G73" s="16" t="inlineStr"/>
      <c r="H73" s="16" t="inlineStr"/>
      <c r="I73" s="16" t="inlineStr"/>
      <c r="J73" s="16" t="inlineStr"/>
    </row>
    <row r="74">
      <c r="A74" s="16" t="inlineStr"/>
      <c r="B74" s="16" t="inlineStr"/>
      <c r="C74" s="16" t="inlineStr"/>
      <c r="D74" s="16" t="inlineStr"/>
      <c r="E74" s="16" t="inlineStr"/>
      <c r="F74" s="16" t="inlineStr"/>
      <c r="G74" s="16" t="inlineStr"/>
      <c r="H74" s="16" t="inlineStr"/>
      <c r="I74" s="16" t="inlineStr"/>
      <c r="J74" s="16" t="inlineStr"/>
    </row>
    <row r="75">
      <c r="A75" s="16" t="inlineStr"/>
      <c r="B75" s="16" t="inlineStr"/>
      <c r="C75" s="16" t="inlineStr"/>
      <c r="D75" s="16" t="inlineStr"/>
      <c r="E75" s="16" t="inlineStr"/>
      <c r="F75" s="16" t="inlineStr"/>
      <c r="G75" s="16" t="inlineStr"/>
      <c r="H75" s="16" t="inlineStr"/>
      <c r="I75" s="16" t="inlineStr"/>
      <c r="J75" s="16" t="inlineStr"/>
    </row>
    <row r="76">
      <c r="A76" s="16" t="inlineStr"/>
      <c r="B76" s="16" t="inlineStr"/>
      <c r="C76" s="16" t="inlineStr"/>
      <c r="D76" s="16" t="inlineStr"/>
      <c r="E76" s="16" t="inlineStr"/>
      <c r="F76" s="16" t="inlineStr"/>
      <c r="G76" s="16" t="inlineStr"/>
      <c r="H76" s="16" t="inlineStr"/>
      <c r="I76" s="16" t="inlineStr"/>
      <c r="J76" s="16" t="inlineStr"/>
    </row>
    <row r="77">
      <c r="A77" s="16" t="inlineStr"/>
      <c r="B77" s="16" t="inlineStr"/>
      <c r="C77" s="16" t="inlineStr"/>
      <c r="D77" s="16" t="inlineStr"/>
      <c r="E77" s="16" t="inlineStr"/>
      <c r="F77" s="16" t="inlineStr"/>
      <c r="G77" s="16" t="inlineStr"/>
      <c r="H77" s="16" t="inlineStr"/>
      <c r="I77" s="16" t="inlineStr"/>
      <c r="J77" s="16" t="inlineStr"/>
    </row>
    <row r="78">
      <c r="A78" s="16" t="inlineStr"/>
      <c r="B78" s="16" t="inlineStr"/>
      <c r="C78" s="16" t="inlineStr"/>
      <c r="D78" s="16" t="inlineStr"/>
      <c r="E78" s="16" t="inlineStr"/>
      <c r="F78" s="16" t="inlineStr"/>
      <c r="G78" s="16" t="inlineStr"/>
      <c r="H78" s="16" t="inlineStr"/>
      <c r="I78" s="16" t="inlineStr"/>
      <c r="J78" s="16" t="inlineStr"/>
    </row>
    <row r="79">
      <c r="A79" s="16" t="inlineStr"/>
      <c r="B79" s="16" t="inlineStr"/>
      <c r="C79" s="16" t="inlineStr"/>
      <c r="D79" s="16" t="inlineStr"/>
      <c r="E79" s="16" t="inlineStr"/>
      <c r="F79" s="16" t="inlineStr"/>
      <c r="G79" s="16" t="inlineStr"/>
      <c r="H79" s="16" t="inlineStr"/>
      <c r="I79" s="16" t="inlineStr"/>
      <c r="J79" s="16" t="inlineStr"/>
    </row>
    <row r="80">
      <c r="A80" s="16" t="inlineStr"/>
      <c r="B80" s="16" t="inlineStr"/>
      <c r="C80" s="16" t="inlineStr"/>
      <c r="D80" s="16" t="inlineStr"/>
      <c r="E80" s="16" t="inlineStr"/>
      <c r="F80" s="16" t="inlineStr"/>
      <c r="G80" s="16" t="inlineStr"/>
      <c r="H80" s="16" t="inlineStr"/>
      <c r="I80" s="16" t="inlineStr"/>
      <c r="J80" s="16" t="inlineStr"/>
    </row>
    <row r="81">
      <c r="A81" s="16" t="inlineStr"/>
      <c r="B81" s="16" t="inlineStr"/>
      <c r="C81" s="16" t="inlineStr"/>
      <c r="D81" s="16" t="inlineStr"/>
      <c r="E81" s="16" t="inlineStr"/>
      <c r="F81" s="16" t="inlineStr"/>
      <c r="G81" s="16" t="inlineStr"/>
      <c r="H81" s="16" t="inlineStr"/>
      <c r="I81" s="16" t="inlineStr"/>
      <c r="J81" s="16" t="inlineStr"/>
    </row>
    <row r="82">
      <c r="A82" s="16" t="inlineStr"/>
      <c r="B82" s="16" t="inlineStr"/>
      <c r="C82" s="16" t="inlineStr"/>
      <c r="D82" s="16" t="inlineStr"/>
      <c r="E82" s="16" t="inlineStr"/>
      <c r="F82" s="16" t="inlineStr"/>
      <c r="G82" s="16" t="inlineStr"/>
      <c r="H82" s="16" t="inlineStr"/>
      <c r="I82" s="16" t="inlineStr"/>
      <c r="J82" s="16" t="inlineStr"/>
    </row>
    <row r="83">
      <c r="A83" s="16" t="inlineStr"/>
      <c r="B83" s="16" t="inlineStr"/>
      <c r="C83" s="16" t="inlineStr"/>
      <c r="D83" s="16" t="inlineStr"/>
      <c r="E83" s="16" t="inlineStr"/>
      <c r="F83" s="16" t="inlineStr"/>
      <c r="G83" s="16" t="inlineStr"/>
      <c r="H83" s="16" t="inlineStr"/>
      <c r="I83" s="16" t="inlineStr"/>
      <c r="J83" s="16" t="inlineStr"/>
    </row>
    <row r="84">
      <c r="A84" s="16" t="inlineStr"/>
      <c r="B84" s="16" t="inlineStr"/>
      <c r="C84" s="16" t="inlineStr"/>
      <c r="D84" s="16" t="inlineStr"/>
      <c r="E84" s="16" t="inlineStr"/>
      <c r="F84" s="16" t="inlineStr"/>
      <c r="G84" s="16" t="inlineStr"/>
      <c r="H84" s="16" t="inlineStr"/>
      <c r="I84" s="16" t="inlineStr"/>
      <c r="J84" s="16" t="inlineStr"/>
    </row>
    <row r="85">
      <c r="A85" s="16" t="inlineStr"/>
      <c r="B85" s="16" t="inlineStr"/>
      <c r="C85" s="16" t="inlineStr"/>
      <c r="D85" s="16" t="inlineStr"/>
      <c r="E85" s="16" t="inlineStr"/>
      <c r="F85" s="16" t="inlineStr"/>
      <c r="G85" s="16" t="inlineStr"/>
      <c r="H85" s="16" t="inlineStr"/>
      <c r="I85" s="16" t="inlineStr"/>
      <c r="J85" s="16" t="inlineStr"/>
    </row>
    <row r="86">
      <c r="A86" s="16" t="inlineStr"/>
      <c r="B86" s="16" t="inlineStr"/>
      <c r="C86" s="16" t="inlineStr"/>
      <c r="D86" s="16" t="inlineStr"/>
      <c r="E86" s="16" t="inlineStr"/>
      <c r="F86" s="16" t="inlineStr"/>
      <c r="G86" s="16" t="inlineStr"/>
      <c r="H86" s="16" t="inlineStr"/>
      <c r="I86" s="16" t="inlineStr"/>
      <c r="J86" s="16" t="inlineStr"/>
    </row>
    <row r="87">
      <c r="A87" s="16" t="inlineStr"/>
      <c r="B87" s="16" t="inlineStr"/>
      <c r="C87" s="16" t="inlineStr"/>
      <c r="D87" s="16" t="inlineStr"/>
      <c r="E87" s="16" t="inlineStr"/>
      <c r="F87" s="16" t="inlineStr"/>
      <c r="G87" s="16" t="inlineStr"/>
      <c r="H87" s="16" t="inlineStr"/>
      <c r="I87" s="16" t="inlineStr"/>
      <c r="J87" s="16" t="inlineStr"/>
    </row>
    <row r="88">
      <c r="A88" s="16" t="inlineStr"/>
      <c r="B88" s="16" t="inlineStr"/>
      <c r="C88" s="16" t="inlineStr"/>
      <c r="D88" s="16" t="inlineStr"/>
      <c r="E88" s="16" t="inlineStr"/>
      <c r="F88" s="16" t="inlineStr"/>
      <c r="G88" s="16" t="inlineStr"/>
      <c r="H88" s="16" t="inlineStr"/>
      <c r="I88" s="16" t="inlineStr"/>
      <c r="J88" s="16" t="inlineStr"/>
    </row>
    <row r="89">
      <c r="A89" s="16" t="inlineStr"/>
      <c r="B89" s="16" t="inlineStr"/>
      <c r="C89" s="16" t="inlineStr"/>
      <c r="D89" s="16" t="inlineStr"/>
      <c r="E89" s="16" t="inlineStr"/>
      <c r="F89" s="16" t="inlineStr"/>
      <c r="G89" s="16" t="inlineStr"/>
      <c r="H89" s="16" t="inlineStr"/>
      <c r="I89" s="16" t="inlineStr"/>
      <c r="J89" s="16" t="inlineStr"/>
    </row>
    <row r="90">
      <c r="A90" s="16" t="inlineStr"/>
      <c r="B90" s="16" t="inlineStr"/>
      <c r="C90" s="16" t="inlineStr"/>
      <c r="D90" s="16" t="inlineStr"/>
      <c r="E90" s="16" t="inlineStr"/>
      <c r="F90" s="16" t="inlineStr"/>
      <c r="G90" s="16" t="inlineStr"/>
      <c r="H90" s="16" t="inlineStr"/>
      <c r="I90" s="16" t="inlineStr"/>
      <c r="J90" s="16" t="inlineStr"/>
    </row>
    <row r="91">
      <c r="A91" s="16" t="inlineStr"/>
      <c r="B91" s="16" t="inlineStr"/>
      <c r="C91" s="16" t="inlineStr"/>
      <c r="D91" s="16" t="inlineStr"/>
      <c r="E91" s="16" t="inlineStr"/>
      <c r="F91" s="16" t="inlineStr"/>
      <c r="G91" s="16" t="inlineStr"/>
      <c r="H91" s="16" t="inlineStr"/>
      <c r="I91" s="16" t="inlineStr"/>
      <c r="J91" s="16" t="inlineStr"/>
    </row>
    <row r="92">
      <c r="A92" s="16" t="inlineStr"/>
      <c r="B92" s="16" t="inlineStr"/>
      <c r="C92" s="16" t="inlineStr"/>
      <c r="D92" s="16" t="inlineStr"/>
      <c r="E92" s="16" t="inlineStr"/>
      <c r="F92" s="16" t="inlineStr"/>
      <c r="G92" s="16" t="inlineStr"/>
      <c r="H92" s="16" t="inlineStr"/>
      <c r="I92" s="16" t="inlineStr"/>
      <c r="J92" s="16" t="inlineStr"/>
    </row>
    <row r="93">
      <c r="A93" s="16" t="inlineStr"/>
      <c r="B93" s="16" t="inlineStr"/>
      <c r="C93" s="16" t="inlineStr"/>
      <c r="D93" s="16" t="inlineStr"/>
      <c r="E93" s="16" t="inlineStr"/>
      <c r="F93" s="16" t="inlineStr"/>
      <c r="G93" s="16" t="inlineStr"/>
      <c r="H93" s="16" t="inlineStr"/>
      <c r="I93" s="16" t="inlineStr"/>
      <c r="J93" s="16" t="inlineStr"/>
    </row>
    <row r="94">
      <c r="A94" s="16" t="inlineStr"/>
      <c r="B94" s="16" t="inlineStr"/>
      <c r="C94" s="16" t="inlineStr"/>
      <c r="D94" s="16" t="inlineStr"/>
      <c r="E94" s="16" t="inlineStr"/>
      <c r="F94" s="16" t="inlineStr"/>
      <c r="G94" s="16" t="inlineStr"/>
      <c r="H94" s="16" t="inlineStr"/>
      <c r="I94" s="16" t="inlineStr"/>
      <c r="J94" s="16" t="inlineStr"/>
    </row>
    <row r="95">
      <c r="A95" s="16" t="inlineStr"/>
      <c r="B95" s="16" t="inlineStr"/>
      <c r="C95" s="16" t="inlineStr"/>
      <c r="D95" s="16" t="inlineStr"/>
      <c r="E95" s="16" t="inlineStr"/>
      <c r="F95" s="16" t="inlineStr"/>
      <c r="G95" s="16" t="inlineStr"/>
      <c r="H95" s="16" t="inlineStr"/>
      <c r="I95" s="16" t="inlineStr"/>
      <c r="J95" s="16" t="inlineStr"/>
    </row>
    <row r="96">
      <c r="A96" s="16" t="inlineStr"/>
      <c r="B96" s="16" t="inlineStr"/>
      <c r="C96" s="16" t="inlineStr"/>
      <c r="D96" s="16" t="inlineStr"/>
      <c r="E96" s="16" t="inlineStr"/>
      <c r="F96" s="16" t="inlineStr"/>
      <c r="G96" s="16" t="inlineStr"/>
      <c r="H96" s="16" t="inlineStr"/>
      <c r="I96" s="16" t="inlineStr"/>
      <c r="J96" s="16" t="inlineStr"/>
    </row>
    <row r="97">
      <c r="A97" s="16" t="inlineStr"/>
      <c r="B97" s="16" t="inlineStr"/>
      <c r="C97" s="16" t="inlineStr"/>
      <c r="D97" s="16" t="inlineStr"/>
      <c r="E97" s="16" t="inlineStr"/>
      <c r="F97" s="16" t="inlineStr"/>
      <c r="G97" s="16" t="inlineStr"/>
      <c r="H97" s="16" t="inlineStr"/>
      <c r="I97" s="16" t="inlineStr"/>
      <c r="J97" s="16" t="inlineStr"/>
    </row>
    <row r="98">
      <c r="A98" s="16" t="inlineStr"/>
      <c r="B98" s="16" t="inlineStr"/>
      <c r="C98" s="16" t="inlineStr"/>
      <c r="D98" s="16" t="inlineStr"/>
      <c r="E98" s="16" t="inlineStr"/>
      <c r="F98" s="16" t="inlineStr"/>
      <c r="G98" s="16" t="inlineStr"/>
      <c r="H98" s="16" t="inlineStr"/>
      <c r="I98" s="16" t="inlineStr"/>
      <c r="J98" s="16" t="inlineStr"/>
    </row>
    <row r="99">
      <c r="A99" s="16" t="inlineStr"/>
      <c r="B99" s="16" t="inlineStr"/>
      <c r="C99" s="16" t="inlineStr"/>
      <c r="D99" s="16" t="inlineStr"/>
      <c r="E99" s="16" t="inlineStr"/>
      <c r="F99" s="16" t="inlineStr"/>
      <c r="G99" s="16" t="inlineStr"/>
      <c r="H99" s="16" t="inlineStr"/>
      <c r="I99" s="16" t="inlineStr"/>
      <c r="J99" s="16" t="inlineStr"/>
    </row>
    <row r="100">
      <c r="A100" s="16" t="inlineStr"/>
      <c r="B100" s="16" t="inlineStr"/>
      <c r="C100" s="16" t="inlineStr"/>
      <c r="D100" s="16" t="inlineStr"/>
      <c r="E100" s="16" t="inlineStr"/>
      <c r="F100" s="16" t="inlineStr"/>
      <c r="G100" s="16" t="inlineStr"/>
      <c r="H100" s="16" t="inlineStr"/>
      <c r="I100" s="16" t="inlineStr"/>
      <c r="J100" s="16" t="inlineStr"/>
    </row>
    <row r="101">
      <c r="A101" s="16" t="inlineStr"/>
      <c r="B101" s="16" t="inlineStr"/>
      <c r="C101" s="16" t="inlineStr"/>
      <c r="D101" s="16" t="inlineStr"/>
      <c r="E101" s="16" t="inlineStr"/>
      <c r="F101" s="16" t="inlineStr"/>
      <c r="G101" s="16" t="inlineStr"/>
      <c r="H101" s="16" t="inlineStr"/>
      <c r="I101" s="16" t="inlineStr"/>
      <c r="J101" s="16" t="inlineStr"/>
    </row>
    <row r="102">
      <c r="A102" s="16" t="inlineStr"/>
      <c r="B102" s="16" t="inlineStr"/>
      <c r="C102" s="16" t="inlineStr"/>
      <c r="D102" s="16" t="inlineStr"/>
      <c r="E102" s="16" t="inlineStr"/>
      <c r="F102" s="16" t="inlineStr"/>
      <c r="G102" s="16" t="inlineStr"/>
      <c r="H102" s="16" t="inlineStr"/>
      <c r="I102" s="16" t="inlineStr"/>
      <c r="J102" s="16" t="inlineStr"/>
    </row>
    <row r="103">
      <c r="A103" s="16" t="inlineStr"/>
      <c r="B103" s="16" t="inlineStr"/>
      <c r="C103" s="16" t="inlineStr"/>
      <c r="D103" s="16" t="inlineStr"/>
      <c r="E103" s="16" t="inlineStr"/>
      <c r="F103" s="16" t="inlineStr"/>
      <c r="G103" s="16" t="inlineStr"/>
      <c r="H103" s="16" t="inlineStr"/>
      <c r="I103" s="16" t="inlineStr"/>
      <c r="J103" s="16" t="inlineStr"/>
    </row>
  </sheetData>
  <autoFilter ref="A3:J103"/>
  <mergeCells count="1">
    <mergeCell ref="A1:J1"/>
  </mergeCells>
  <conditionalFormatting sqref="A4:J103">
    <cfRule type="expression" priority="1" dxfId="4">
      <formula>$I4="Non"</formula>
    </cfRule>
  </conditionalFormatting>
  <dataValidations count="3">
    <dataValidation sqref="G4:G103" showErrorMessage="1" showInputMessage="1" allowBlank="1" type="list">
      <formula1>'Paramètres'!$A$12:$A$14</formula1>
    </dataValidation>
    <dataValidation sqref="H4:H103" showErrorMessage="1" showInputMessage="1" allowBlank="1" type="whole" operator="between">
      <formula1>0</formula1>
      <formula2>365</formula2>
    </dataValidation>
    <dataValidation sqref="I4:I103" showErrorMessage="1" showInputMessage="1" allowBlank="0" type="list">
      <formula1>"Oui,Non"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selection activeCell="A1" sqref="A1"/>
    </sheetView>
  </sheetViews>
  <sheetFormatPr baseColWidth="8" defaultRowHeight="15"/>
  <cols>
    <col width="43" customWidth="1" min="1" max="1"/>
    <col width="54" customWidth="1" min="2" max="2"/>
    <col width="14" customWidth="1" min="3" max="3"/>
    <col width="24" customWidth="1" min="4" max="4"/>
    <col width="14" customWidth="1" min="5" max="5"/>
  </cols>
  <sheetData>
    <row r="1" ht="26" customHeight="1">
      <c r="A1" s="1" t="inlineStr">
        <is>
          <t>Paramètres du classeur</t>
        </is>
      </c>
    </row>
    <row r="4">
      <c r="A4" s="2" t="inlineStr">
        <is>
          <t>Nom de l’entreprise ou du travailleur autonome</t>
        </is>
      </c>
      <c r="B4" s="16" t="inlineStr">
        <is>
          <t>Services Tremblay inc.</t>
        </is>
      </c>
    </row>
    <row r="5">
      <c r="A5" s="2" t="inlineStr">
        <is>
          <t>Année de suivi</t>
        </is>
      </c>
      <c r="B5" s="22" t="n">
        <v>2026</v>
      </c>
    </row>
    <row r="6">
      <c r="A6" s="2" t="inlineStr">
        <is>
          <t>Date de référence pour les comptes à recevoir</t>
        </is>
      </c>
      <c r="B6" s="17" t="n">
        <v>46267</v>
      </c>
    </row>
    <row r="7">
      <c r="A7" s="2" t="inlineStr">
        <is>
          <t>Devise</t>
        </is>
      </c>
      <c r="B7" s="16" t="inlineStr">
        <is>
          <t>CAD</t>
        </is>
      </c>
    </row>
    <row r="8">
      <c r="A8" s="2" t="inlineStr">
        <is>
          <t>Note d’utilisation</t>
        </is>
      </c>
      <c r="B8" s="16" t="inlineStr">
        <is>
          <t>Mettre à jour les taux de taxe selon votre situation fiscale.</t>
        </is>
      </c>
    </row>
    <row r="10">
      <c r="A10" s="23" t="inlineStr">
        <is>
          <t>Traitements fiscaux</t>
        </is>
      </c>
      <c r="D10" s="4" t="inlineStr">
        <is>
          <t>Modes de paiement</t>
        </is>
      </c>
    </row>
    <row r="11">
      <c r="A11" s="9" t="inlineStr">
        <is>
          <t>Code de taxe</t>
        </is>
      </c>
      <c r="B11" s="9" t="inlineStr">
        <is>
          <t>Description</t>
        </is>
      </c>
      <c r="C11" s="9" t="inlineStr">
        <is>
          <t>Taux TPS</t>
        </is>
      </c>
      <c r="D11" s="9" t="inlineStr">
        <is>
          <t>Mode de paiement</t>
        </is>
      </c>
      <c r="E11" s="9" t="inlineStr">
        <is>
          <t>Actif</t>
        </is>
      </c>
    </row>
    <row r="12">
      <c r="A12" s="24" t="inlineStr">
        <is>
          <t>TPS-TVQ</t>
        </is>
      </c>
      <c r="B12" s="24" t="inlineStr">
        <is>
          <t>Taxable au Québec — TPS et TVQ</t>
        </is>
      </c>
      <c r="C12" s="25" t="n">
        <v>0.05</v>
      </c>
      <c r="D12" s="25" t="inlineStr">
        <is>
          <t>Virement bancaire</t>
        </is>
      </c>
      <c r="E12" s="24" t="inlineStr">
        <is>
          <t>Oui</t>
        </is>
      </c>
    </row>
    <row r="13">
      <c r="A13" s="26" t="inlineStr">
        <is>
          <t>Exonéré</t>
        </is>
      </c>
      <c r="B13" s="26" t="inlineStr">
        <is>
          <t>Fourniture exonérée ou non taxable</t>
        </is>
      </c>
      <c r="C13" s="27" t="n">
        <v>0</v>
      </c>
      <c r="D13" s="27" t="inlineStr">
        <is>
          <t>Carte de crédit</t>
        </is>
      </c>
      <c r="E13" s="26" t="inlineStr">
        <is>
          <t>Oui</t>
        </is>
      </c>
    </row>
    <row r="14">
      <c r="A14" s="24" t="inlineStr">
        <is>
          <t>À valider</t>
        </is>
      </c>
      <c r="B14" s="24" t="inlineStr">
        <is>
          <t>Traitement fiscal à confirmer</t>
        </is>
      </c>
      <c r="C14" s="25" t="n">
        <v>0</v>
      </c>
      <c r="D14" s="25" t="inlineStr">
        <is>
          <t>Chèque</t>
        </is>
      </c>
      <c r="E14" s="24" t="inlineStr">
        <is>
          <t>Oui</t>
        </is>
      </c>
    </row>
    <row r="15">
      <c r="D15" s="28" t="inlineStr">
        <is>
          <t>Comptant</t>
        </is>
      </c>
    </row>
    <row r="16" ht="32" customHeight="1">
      <c r="A16" s="29" t="inlineStr">
        <is>
          <t>Les taux affichés sont modifiables. Confirmer le traitement fiscal applicable auprès de votre comptable, de Revenu Québec ou de l’ARC.</t>
        </is>
      </c>
      <c r="D16" s="30" t="inlineStr">
        <is>
          <t>Dépôt direct</t>
        </is>
      </c>
    </row>
    <row r="17">
      <c r="D17" s="28" t="inlineStr">
        <is>
          <t>PayPal</t>
        </is>
      </c>
    </row>
    <row r="18">
      <c r="A18" s="4" t="inlineStr">
        <is>
          <t>Catégories de revenus</t>
        </is>
      </c>
      <c r="D18" s="30" t="inlineStr">
        <is>
          <t>Autre</t>
        </is>
      </c>
    </row>
    <row r="19">
      <c r="A19" s="9" t="inlineStr">
        <is>
          <t>Catégorie de revenus</t>
        </is>
      </c>
      <c r="B19" s="9" t="inlineStr">
        <is>
          <t>Actif</t>
        </is>
      </c>
      <c r="D19" s="28" t="inlineStr">
        <is>
          <t>Non reçu</t>
        </is>
      </c>
    </row>
    <row r="20">
      <c r="A20" s="30" t="inlineStr">
        <is>
          <t>Consultation</t>
        </is>
      </c>
      <c r="B20" s="30" t="inlineStr">
        <is>
          <t>Oui</t>
        </is>
      </c>
    </row>
    <row r="21">
      <c r="A21" s="28" t="inlineStr">
        <is>
          <t>Services administratifs</t>
        </is>
      </c>
      <c r="B21" s="28" t="inlineStr">
        <is>
          <t>Oui</t>
        </is>
      </c>
      <c r="D21" s="4" t="inlineStr">
        <is>
          <t>Statuts de paiement</t>
        </is>
      </c>
    </row>
    <row r="22">
      <c r="A22" s="30" t="inlineStr">
        <is>
          <t>Formation</t>
        </is>
      </c>
      <c r="B22" s="30" t="inlineStr">
        <is>
          <t>Oui</t>
        </is>
      </c>
      <c r="D22" s="31" t="inlineStr">
        <is>
          <t>Statut</t>
        </is>
      </c>
    </row>
    <row r="23">
      <c r="A23" s="28" t="inlineStr">
        <is>
          <t>Conception et design</t>
        </is>
      </c>
      <c r="B23" s="28" t="inlineStr">
        <is>
          <t>Oui</t>
        </is>
      </c>
      <c r="D23" s="30" t="inlineStr">
        <is>
          <t>Non payé</t>
        </is>
      </c>
    </row>
    <row r="24">
      <c r="A24" s="30" t="inlineStr">
        <is>
          <t>Rédaction et révision</t>
        </is>
      </c>
      <c r="B24" s="30" t="inlineStr">
        <is>
          <t>Oui</t>
        </is>
      </c>
      <c r="D24" s="28" t="inlineStr">
        <is>
          <t>Partiellement payé</t>
        </is>
      </c>
    </row>
    <row r="25">
      <c r="A25" s="28" t="inlineStr">
        <is>
          <t>Soutien technique</t>
        </is>
      </c>
      <c r="B25" s="28" t="inlineStr">
        <is>
          <t>Oui</t>
        </is>
      </c>
      <c r="D25" s="30" t="inlineStr">
        <is>
          <t>Payé</t>
        </is>
      </c>
    </row>
    <row r="26">
      <c r="A26" s="30" t="inlineStr">
        <is>
          <t>Vente de produits</t>
        </is>
      </c>
      <c r="B26" s="30" t="inlineStr">
        <is>
          <t>Oui</t>
        </is>
      </c>
      <c r="D26" s="28" t="inlineStr">
        <is>
          <t>Annulé</t>
        </is>
      </c>
    </row>
    <row r="27">
      <c r="A27" s="28" t="inlineStr">
        <is>
          <t>Autres revenus</t>
        </is>
      </c>
      <c r="B27" s="28" t="inlineStr">
        <is>
          <t>Oui</t>
        </is>
      </c>
    </row>
  </sheetData>
  <mergeCells count="1">
    <mergeCell ref="A1:E1"/>
  </mergeCells>
  <dataValidations count="1">
    <dataValidation sqref="E12:E14 B20:B27" showErrorMessage="1" showInputMessage="1" allowBlank="0" type="list">
      <formula1>"Oui,Non"</formula1>
    </dataValidation>
  </dataValidations>
  <pageMargins left="0.75" right="0.75" top="1" bottom="1" header="0.5" footer="0.5"/>
  <legacyDrawing xmlns:r="http://schemas.openxmlformats.org/officeDocument/2006/relationships" r:id="anysvml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2026-09-02T11:11:06Z</dcterms:created>
  <dcterms:modified xmlns:dcterms="http://purl.org/dc/terms/" xmlns:xsi="http://www.w3.org/2001/XMLSchema-instance" xsi:type="dcterms:W3CDTF">2026-09-02T11:11:06Z</dcterms:modified>
</cp:coreProperties>
</file>